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GslicCUv4oFcV3HrdI2wce6Gqa9id1ojIID5qvqETsy2TLwqZC/K3c+tlFKnXK+9T9J89Ydb7OdSEK4B+SkX+g==" workbookSaltValue="O2lFr1KoHf+vT8xDDLVxs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AU18" i="21"/>
  <c r="AH13" i="16"/>
  <c r="L16" i="2"/>
  <c r="U9" i="17"/>
  <c r="U19" i="17" s="1"/>
  <c r="AP13" i="16"/>
  <c r="T18" i="17"/>
  <c r="BG15" i="13"/>
  <c r="BE16" i="13"/>
  <c r="BE15" i="13"/>
  <c r="AX20" i="20"/>
  <c r="S19" i="8" l="1"/>
  <c r="BG10" i="8"/>
  <c r="BF9" i="8"/>
  <c r="T9" i="11"/>
  <c r="V9" i="16"/>
  <c r="L9" i="2"/>
  <c r="X10" i="21"/>
  <c r="BJ16" i="11"/>
  <c r="BM17" i="11"/>
  <c r="AQ10" i="21"/>
  <c r="BG12" i="11"/>
  <c r="BW10" i="20"/>
  <c r="BW12" i="20"/>
  <c r="BU11" i="17"/>
  <c r="BK17" i="11"/>
  <c r="BJ12" i="11"/>
  <c r="BM12" i="11"/>
  <c r="BF10" i="11"/>
  <c r="BM16" i="11"/>
  <c r="BH11" i="16"/>
  <c r="BE9" i="13"/>
  <c r="AL16" i="11"/>
  <c r="C16" i="6"/>
  <c r="AB13" i="21"/>
  <c r="AB19" i="21" s="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Q9" i="11" s="1"/>
  <c r="G17" i="3"/>
  <c r="G15" i="3"/>
  <c r="I12" i="3"/>
  <c r="I10" i="3"/>
  <c r="AO17" i="11"/>
  <c r="AO16" i="17"/>
  <c r="I18" i="2"/>
  <c r="J18" i="2" s="1"/>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G19" i="7" l="1"/>
  <c r="BE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P20" i="16"/>
  <c r="AE20" i="16"/>
  <c r="Q20" i="11"/>
  <c r="Z20" i="16"/>
  <c r="P20" i="16"/>
  <c r="AI20" i="21"/>
  <c r="BB20" i="16"/>
  <c r="AM20" i="17"/>
  <c r="BS20" i="16"/>
  <c r="H20" i="12"/>
  <c r="Y20" i="17"/>
  <c r="AL20" i="21"/>
  <c r="AA20" i="11"/>
  <c r="I20" i="17"/>
  <c r="K20" i="12"/>
  <c r="AR20" i="17"/>
  <c r="BQ20" i="16"/>
  <c r="E20" i="12"/>
  <c r="N20" i="16"/>
  <c r="T20" i="17"/>
  <c r="AB20" i="17"/>
  <c r="BO20" i="16"/>
  <c r="AF20" i="16"/>
  <c r="AN20" i="17"/>
  <c r="L20" i="21"/>
  <c r="F20" i="17"/>
  <c r="AH20" i="11"/>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21"/>
  <c r="AG20" i="17"/>
  <c r="AS20" i="16"/>
  <c r="U20" i="20"/>
  <c r="AM20" i="11"/>
  <c r="N20" i="17"/>
  <c r="AR20" i="16"/>
  <c r="AA20" i="16"/>
  <c r="AW20" i="16"/>
  <c r="K20" i="21"/>
  <c r="AU20" i="11"/>
  <c r="O20" i="16"/>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<sst xmlns="http://schemas.openxmlformats.org/spreadsheetml/2006/main" count="2088" uniqueCount="909">
  <si>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</si>
  <si>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</si>
  <si>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</si>
  <si>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</si>
  <si>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</si>
  <si>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</si>
  <si>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</si>
  <si>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</si>
  <si>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</si>
  <si>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</si>
  <si>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</si>
  <si>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</si>
  <si>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</si>
  <si>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</si>
  <si>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</si>
  <si>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</si>
  <si>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</si>
  <si>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</si>
  <si>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</si>
  <si>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</si>
  <si>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</si>
  <si>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</si>
  <si>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</si>
  <si>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</si>
  <si>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</si>
  <si>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</si>
  <si>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</si>
  <si>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</si>
  <si>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</si>
  <si>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</si>
  <si>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</si>
  <si>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</si>
  <si>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</si>
  <si>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</si>
  <si>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</si>
  <si>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</si>
  <si>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</si>
  <si>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</si>
  <si>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</si>
  <si>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</si>
  <si>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</si>
  <si>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</si>
  <si>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</si>
  <si>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</si>
  <si>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</si>
  <si>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</si>
  <si>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</si>
  <si>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</si>
  <si>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</si>
  <si>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</si>
  <si>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</si>
  <si>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</si>
  <si>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</si>
  <si>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</si>
  <si>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</si>
  <si>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</si>
  <si>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</si>
  <si>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</si>
  <si>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</si>
  <si>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</si>
  <si>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</si>
  <si>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</si>
  <si>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</si>
  <si>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</si>
  <si>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</si>
  <si>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</si>
  <si>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</si>
  <si>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</si>
  <si>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</si>
  <si>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</si>
  <si>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</si>
  <si>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</si>
  <si>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</si>
  <si>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</si>
  <si>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</si>
  <si>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</si>
  <si>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</si>
  <si>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</si>
  <si>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</si>
  <si>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</si>
  <si>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</si>
  <si>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</si>
  <si>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</si>
  <si>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</si>
  <si>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</si>
  <si>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</si>
  <si>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</si>
  <si>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</si>
  <si>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</si>
  <si>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</si>
  <si>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</si>
  <si>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</si>
  <si>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</si>
  <si>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</si>
  <si>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</si>
  <si>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</si>
  <si>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</si>
  <si>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</si>
  <si>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</si>
  <si>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</si>
  <si>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</si>
  <si>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</si>
  <si>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</si>
  <si>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</si>
  <si>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</si>
  <si>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</si>
  <si>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</si>
  <si>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</si>
  <si>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</si>
  <si>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</si>
  <si>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</si>
  <si>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</si>
  <si>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</si>
  <si>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</si>
  <si>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</si>
  <si>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</si>
  <si>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</si>
  <si>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</si>
  <si>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</si>
  <si>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</si>
  <si>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</si>
  <si>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</si>
  <si>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</si>
  <si>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</si>
  <si>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</si>
  <si>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</si>
  <si>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</si>
  <si>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</si>
  <si>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</si>
  <si>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</si>
  <si>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</si>
  <si>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</si>
  <si>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</si>
  <si>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</si>
  <si>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</si>
  <si>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</si>
  <si>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</si>
  <si>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</si>
  <si>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</si>
  <si>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</si>
  <si>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</si>
  <si>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</si>
  <si>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</si>
  <si>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</si>
  <si>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</si>
  <si>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</si>
  <si>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</si>
  <si>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</si>
  <si>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</si>
  <si>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</si>
  <si>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</si>
  <si>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</si>
  <si>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</si>
  <si>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</si>
  <si>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</si>
  <si>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</si>
  <si>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</si>
  <si>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</si>
  <si>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</si>
  <si>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</si>
  <si>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</si>
  <si>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</si>
  <si>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</si>
  <si>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</si>
  <si>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</si>
  <si>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</si>
  <si>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</si>
  <si>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</si>
  <si>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</si>
  <si>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</si>
  <si>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</si>
  <si>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</si>
  <si>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</si>
  <si>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</si>
  <si>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</si>
  <si>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</si>
  <si>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</si>
  <si>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</si>
  <si>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</si>
  <si>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</si>
  <si>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</si>
  <si>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</si>
  <si>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</si>
  <si>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</si>
  <si>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</si>
  <si>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</si>
  <si>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</si>
  <si>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</si>
  <si>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</si>
  <si>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</si>
  <si>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</si>
  <si>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</si>
  <si>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</si>
  <si>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</si>
  <si>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</si>
  <si>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</si>
  <si>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</si>
  <si>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</si>
  <si>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</si>
  <si>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</si>
  <si>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</si>
  <si>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</si>
  <si>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</si>
  <si>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</si>
  <si>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</si>
  <si>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</si>
  <si>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</si>
  <si>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</si>
  <si>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</si>
  <si>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</si>
  <si>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</si>
  <si>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</si>
  <si>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</si>
  <si>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</si>
  <si>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</si>
  <si>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</si>
  <si>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</si>
  <si>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</si>
  <si>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</si>
  <si>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</si>
  <si>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</si>
  <si>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</si>
  <si>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</si>
  <si>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</si>
  <si>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</si>
  <si>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</si>
  <si>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</si>
  <si>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</si>
  <si>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</si>
  <si>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</si>
  <si>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</si>
  <si>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</si>
  <si>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</si>
  <si>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</si>
  <si>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</si>
  <si>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</si>
  <si>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</si>
  <si>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</si>
  <si>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</si>
  <si>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</si>
  <si>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</si>
  <si>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</si>
  <si>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</si>
  <si>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</si>
  <si>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</si>
  <si>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</si>
  <si>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</si>
  <si>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</si>
  <si>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</si>
  <si>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</si>
  <si>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</si>
  <si>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</si>
  <si>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</si>
  <si>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</si>
  <si>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</si>
  <si>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</si>
  <si>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</si>
  <si>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</si>
  <si>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</si>
  <si>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</si>
  <si>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</si>
  <si>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</si>
  <si>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</si>
  <si>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</si>
  <si>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</si>
  <si>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</si>
  <si>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</si>
  <si>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</si>
  <si>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</si>
  <si>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</si>
  <si>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</si>
  <si>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</si>
  <si>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</si>
  <si>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</si>
  <si>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</si>
  <si>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</si>
  <si>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</si>
  <si>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</si>
  <si>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</si>
  <si>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</si>
  <si>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</si>
  <si>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</si>
  <si>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</si>
  <si>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</si>
  <si>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</si>
  <si>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</si>
  <si>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</si>
  <si>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</si>
  <si>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</si>
  <si>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</si>
  <si>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</si>
  <si>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</si>
  <si>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</si>
  <si>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</si>
  <si>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</si>
  <si>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</si>
  <si>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</si>
  <si>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</si>
  <si>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</si>
  <si>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</si>
  <si>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</si>
  <si>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</si>
  <si>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</si>
  <si>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</si>
  <si>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</si>
  <si>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</si>
  <si>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</si>
  <si>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</si>
  <si>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</si>
  <si>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</si>
  <si>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</si>
  <si>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</si>
  <si>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</si>
  <si>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</si>
  <si>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</si>
  <si>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</si>
  <si>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</si>
  <si>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</si>
  <si>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</si>
  <si>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</si>
  <si>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</si>
  <si>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</si>
  <si>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</si>
  <si>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</si>
  <si>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</si>
  <si>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</si>
  <si>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</si>
  <si>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</si>
  <si>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</si>
  <si>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</si>
  <si>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</si>
  <si>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</si>
  <si>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</si>
  <si>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</si>
  <si>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</si>
  <si>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</si>
  <si>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</si>
  <si>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</si>
  <si>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</si>
  <si>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</si>
  <si>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</si>
  <si>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</si>
  <si>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</si>
  <si>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</si>
  <si>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</si>
  <si>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</si>
  <si>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</si>
  <si>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</si>
  <si>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</si>
  <si>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</si>
  <si>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</si>
  <si>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</si>
  <si>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</si>
  <si>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</si>
  <si>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</si>
  <si>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</si>
  <si>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</si>
  <si>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</si>
  <si>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</si>
  <si>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</si>
  <si>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</si>
  <si>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</si>
  <si>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</si>
  <si>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</si>
  <si>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</si>
  <si>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</si>
  <si>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</si>
  <si>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</si>
  <si>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</si>
  <si>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</si>
  <si>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</si>
  <si>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</si>
  <si>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</si>
  <si>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</si>
  <si>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</si>
  <si>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</si>
  <si>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</si>
  <si>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</si>
  <si>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</si>
  <si>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</si>
  <si>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</si>
  <si>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</si>
  <si>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</si>
  <si>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</si>
  <si>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</si>
  <si>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</si>
  <si>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</si>
  <si>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</si>
  <si>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</si>
  <si>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</si>
  <si>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</si>
  <si>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</si>
  <si>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</si>
  <si>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</si>
  <si>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</si>
  <si>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</si>
  <si>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</si>
  <si>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</si>
  <si>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</si>
  <si>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</si>
  <si>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</si>
  <si>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</si>
  <si>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</si>
  <si>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</si>
  <si>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</si>
  <si>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</si>
  <si>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</si>
  <si>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</si>
  <si>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</si>
  <si>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</si>
  <si>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</si>
  <si>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</si>
  <si>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</si>
  <si>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</si>
  <si>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</si>
  <si>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</si>
  <si>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</si>
  <si>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</si>
  <si>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</si>
  <si>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</si>
  <si>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</si>
  <si>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</si>
  <si>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</si>
  <si>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</si>
  <si>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</si>
  <si>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</si>
  <si>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</si>
  <si>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</si>
  <si>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</si>
  <si>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</si>
  <si>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</si>
  <si>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</si>
  <si>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</si>
  <si>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</si>
  <si>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</si>
  <si>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</si>
  <si>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</si>
  <si>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</si>
  <si>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</si>
  <si>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</si>
  <si>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</si>
  <si>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</si>
  <si>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</si>
  <si>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</si>
  <si>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</si>
  <si>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</si>
  <si>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</si>
  <si>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</si>
  <si>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</si>
  <si>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</si>
  <si>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</si>
  <si>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</si>
  <si>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</si>
  <si>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</si>
  <si>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</si>
  <si>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</si>
  <si>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</si>
  <si>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</si>
  <si>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</si>
  <si>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</si>
  <si>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</si>
  <si>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</si>
  <si>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</si>
  <si>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</si>
  <si>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</si>
  <si>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</si>
  <si>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</si>
  <si>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</si>
  <si>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</si>
  <si>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</si>
  <si>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</si>
  <si>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</si>
  <si>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</si>
  <si>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</si>
  <si>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</si>
  <si>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</si>
  <si>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</si>
  <si>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</si>
  <si>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</si>
  <si>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</si>
  <si>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</si>
  <si>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</si>
  <si>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</si>
  <si>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</si>
  <si>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</si>
  <si>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</si>
  <si>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</si>
  <si>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</si>
  <si>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</si>
  <si>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</si>
  <si>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</si>
  <si>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</si>
  <si>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</si>
  <si>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</si>
  <si>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</si>
  <si>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</si>
  <si>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</si>
  <si>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</si>
  <si>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</si>
  <si>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</si>
  <si>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</si>
  <si>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</si>
  <si>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</si>
  <si>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</si>
  <si>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</si>
  <si>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</si>
  <si>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</si>
  <si>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</si>
  <si>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</si>
  <si>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</si>
  <si>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</si>
  <si>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</si>
  <si>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</si>
  <si>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</si>
  <si>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</si>
  <si>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</si>
  <si>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</si>
  <si>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</si>
  <si>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</si>
  <si>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</si>
  <si>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</si>
  <si>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</si>
  <si>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</si>
  <si>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</si>
  <si>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</si>
  <si>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</si>
  <si>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</si>
  <si>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</si>
  <si>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</si>
  <si>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</si>
  <si>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</si>
  <si>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</si>
  <si>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</si>
  <si>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</si>
  <si>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</si>
  <si>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</si>
  <si>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</si>
  <si>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</si>
  <si>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</si>
  <si>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</si>
  <si>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</si>
  <si>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</si>
  <si>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</si>
  <si>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</si>
  <si>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</si>
  <si>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</si>
  <si>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</si>
  <si>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</si>
  <si>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</si>
  <si>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</si>
  <si>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</si>
  <si>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</si>
  <si>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</si>
  <si>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</si>
  <si>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</si>
  <si>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</si>
  <si>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</si>
  <si>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</si>
  <si>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</si>
  <si>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</si>
  <si>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</si>
  <si>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</si>
  <si>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</si>
  <si>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</si>
  <si>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</si>
  <si>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</si>
  <si>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</si>
  <si>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</si>
  <si>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</si>
  <si>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</si>
  <si>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</si>
  <si>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</si>
  <si>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</si>
  <si>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</si>
  <si>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</si>
  <si>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</si>
  <si>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</si>
  <si>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</si>
  <si>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</si>
  <si>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</si>
  <si>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</si>
  <si>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</si>
  <si>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</si>
  <si>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</si>
  <si>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</si>
  <si>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</si>
  <si>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</si>
  <si>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</si>
  <si>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</si>
  <si>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</si>
  <si>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</si>
  <si>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</si>
  <si>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</si>
  <si>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</si>
  <si>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</si>
  <si>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</si>
  <si>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</si>
  <si>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</si>
  <si>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</si>
  <si>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</si>
  <si>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</si>
  <si>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</si>
  <si>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</si>
  <si>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</si>
  <si>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</si>
  <si>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</si>
  <si>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</si>
  <si>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</si>
  <si>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</si>
  <si>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</si>
  <si>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</si>
  <si>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</si>
  <si>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</si>
  <si>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</si>
  <si>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</si>
  <si>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</si>
  <si>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</si>
  <si>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</si>
  <si>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</si>
  <si>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</si>
  <si>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</si>
  <si>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</si>
  <si>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</si>
  <si>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</si>
  <si>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</si>
  <si>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</si>
  <si>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</si>
  <si>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</si>
  <si>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</si>
  <si>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</si>
  <si>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</si>
  <si>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</si>
  <si>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</si>
  <si>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</si>
  <si>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</si>
  <si>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</si>
  <si>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</si>
  <si>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</si>
  <si>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</si>
  <si>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</si>
  <si>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</si>
  <si>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</si>
  <si>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</si>
  <si>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</si>
  <si>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</si>
  <si>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</si>
  <si>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</si>
  <si>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</si>
  <si>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</si>
  <si>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</si>
  <si>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</si>
  <si>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</si>
  <si>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</si>
  <si>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</si>
  <si>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</si>
  <si>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</si>
  <si>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</si>
  <si>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</si>
  <si>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</si>
  <si>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</si>
  <si>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</si>
  <si>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</si>
  <si>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</si>
  <si>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</si>
  <si>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</si>
  <si>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</si>
  <si>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</si>
  <si>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</si>
  <si>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</si>
  <si>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</si>
  <si>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</si>
  <si>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</si>
  <si>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</si>
  <si>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</si>
  <si>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</si>
  <si>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</si>
  <si>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</si>
  <si>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</si>
  <si>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</si>
  <si>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</si>
  <si>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</si>
  <si>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</si>
  <si>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</si>
  <si>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</si>
  <si>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</si>
  <si>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</si>
  <si>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</si>
  <si>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</si>
  <si>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</si>
  <si>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</si>
  <si>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</si>
  <si>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</si>
  <si>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</si>
  <si>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</si>
  <si>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</si>
  <si>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</si>
  <si>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</si>
  <si>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</si>
  <si>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</si>
  <si>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</si>
  <si>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</si>
  <si>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</si>
  <si>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</si>
  <si>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</si>
  <si>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</si>
  <si>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</si>
  <si>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</si>
  <si>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</si>
  <si>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</si>
  <si>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</si>
  <si>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</si>
  <si>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</si>
  <si>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</si>
  <si>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</si>
  <si>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</si>
  <si>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</si>
  <si>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</si>
  <si>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</si>
  <si>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</si>
  <si>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</si>
  <si>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</si>
  <si>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</si>
  <si>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</si>
  <si>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</si>
  <si>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</si>
  <si>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</si>
  <si>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</si>
  <si>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</si>
  <si>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</si>
  <si>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</si>
  <si>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</si>
  <si>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</si>
  <si>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</si>
  <si>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</si>
  <si>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</si>
  <si>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</si>
  <si>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</si>
  <si>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</si>
  <si>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</si>
  <si>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</si>
  <si>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</si>
  <si>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</si>
  <si>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</si>
  <si>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</si>
  <si>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</si>
  <si>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</si>
  <si>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</si>
  <si>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</si>
  <si>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</si>
  <si>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</si>
  <si>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</si>
  <si>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</si>
  <si>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</si>
  <si>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</si>
  <si>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</si>
  <si>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</si>
  <si>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</si>
  <si>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</si>
  <si>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</si>
  <si>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</si>
  <si>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</si>
  <si>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</si>
  <si>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</si>
  <si>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</si>
  <si>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</si>
  <si>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</si>
  <si>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</si>
  <si>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</si>
  <si>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</si>
  <si>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</si>
  <si>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</si>
  <si>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</si>
  <si>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</si>
  <si>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</si>
  <si>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</si>
  <si>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</si>
  <si>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</si>
  <si>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</si>
  <si>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</si>
  <si>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</si>
  <si>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</si>
  <si>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</si>
  <si>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</si>
  <si>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</si>
  <si>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</si>
  <si>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</si>
  <si>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</si>
  <si>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</si>
  <si>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</si>
  <si>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</si>
  <si>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</si>
  <si>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</si>
  <si>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</si>
  <si>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</si>
  <si>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</si>
  <si>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</si>
  <si>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</si>
  <si>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</si>
  <si>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</si>
  <si>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</si>
  <si>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</si>
  <si>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</si>
  <si>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</si>
  <si>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</si>
  <si>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</si>
  <si>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</si>
  <si>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</si>
  <si>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</si>
  <si>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</si>
  <si>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</si>
  <si>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</si>
  <si>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</si>
  <si>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</si>
  <si>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</si>
  <si>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</si>
  <si>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</si>
  <si>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</si>
  <si>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</si>
  <si>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</si>
  <si>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</si>
  <si>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</si>
  <si>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</si>
  <si>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</si>
  <si>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</si>
  <si>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</si>
  <si>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</si>
  <si>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</si>
  <si>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</si>
  <si>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</si>
  <si>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</si>
  <si>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</si>
  <si>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</si>
  <si>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</si>
  <si>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</si>
  <si>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</si>
  <si>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</si>
  <si>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</si>
  <si>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</si>
  <si>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</si>
  <si>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</si>
  <si>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</si>
  <si>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</si>
  <si>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</si>
  <si>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</si>
  <si>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</si>
  <si>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</si>
  <si>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</si>
  <si>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</si>
  <si>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</si>
  <si>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</si>
  <si>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</si>
  <si>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</si>
  <si>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</si>
  <si>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</si>
  <si>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</si>
  <si>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</si>
  <si>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</si>
  <si>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</si>
  <si>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</si>
  <si>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</si>
  <si>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</si>
  <si>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</si>
  <si>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</si>
  <si>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</si>
  <si>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</si>
  <si>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</si>
  <si>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</si>
  <si>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</si>
  <si>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</si>
  <si>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</si>
  <si>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</si>
  <si>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</si>
  <si>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</si>
  <si>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</si>
  <si>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</si>
  <si>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</si>
  <si>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</si>
  <si>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</si>
  <si>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</si>
  <si>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</si>
  <si>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</si>
  <si>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</si>
  <si>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</si>
  <si>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</si>
  <si>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</si>
  <si>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</si>
  <si>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</si>
  <si>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</si>
  <si>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</si>
  <si>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</si>
  <si>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</si>
  <si>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</si>
  <si>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</si>
  <si>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</si>
  <si>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</si>
  <si>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</si>
  <si>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</si>
  <si>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</si>
  <si>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</si>
  <si>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</si>
  <si>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</si>
  <si>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</si>
  <si>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</si>
  <si>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</si>
  <si>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</si>
  <si>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MADRID</t>
  </si>
  <si>
    <t>Provincias</t>
  </si>
  <si>
    <t>Resumenes por Partidos Judiciales</t>
  </si>
  <si>
    <t>TORREJON DE ARDOZ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</si>
</sst>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903</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904</v>
      </c>
      <c r="B9" s="375" t="s">
        <v>905</v>
      </c>
      <c r="C9" s="372"/>
      <c r="D9" s="372"/>
      <c r="E9" s="381"/>
      <c r="F9" s="3"/>
    </row>
    <row r="10" spans="1:19">
      <c r="A10" s="380" t="s">
        <v>906</v>
      </c>
      <c r="B10" s="372" t="s">
        <v>905</v>
      </c>
      <c r="C10" s="372"/>
      <c r="D10" s="372"/>
      <c r="E10" s="381"/>
      <c r="F10" s="3"/>
      <c r="Q10" s="346">
        <v>0</v>
      </c>
    </row>
    <row r="11" spans="1:19" ht="13.5" thickBot="1">
      <c r="A11" s="382" t="s">
        <v>907</v>
      </c>
      <c r="B11" s="383" t="s">
        <v>908</v>
      </c>
      <c r="C11" s="383"/>
      <c r="D11" s="383"/>
      <c r="E11" s="384"/>
      <c r="F11" s="3"/>
    </row>
    <row r="12" spans="1:19" ht="40.5" customHeight="1" thickBot="1">
      <c r="A12" s="374"/>
      <c r="B12" s="372"/>
      <c r="C12" s="372"/>
      <c r="D12" s="372"/>
      <c r="E12" s="372"/>
      <c r="F12" s="3"/>
      <c r="Q12" s="1105"/>
    </row>
    <row r="13" spans="1:19" ht="15">
      <c r="A13" s="385" t="s">
        <v>124</v>
      </c>
      <c r="B13" s="386" t="s">
        <v>55</v>
      </c>
      <c r="C13" s="790" t="s">
        <v>720</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3C2uPXY6MunM2CI2G0q64MqZafCPN5wxbBEWwhX6VHQ8tVM5Yo1Fh18Y5adjgfe9eISVVPm+tv9pa1rAZUas3w==" saltValue="+AEoOgf74U6gGu75IU1K8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TORREJON DE ARDOZ</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740</v>
      </c>
      <c r="L5" s="1191" t="s">
        <v>786</v>
      </c>
      <c r="M5" s="1191" t="s">
        <v>847</v>
      </c>
      <c r="N5" s="1194" t="s">
        <v>739</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734</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8900</v>
      </c>
      <c r="D9" s="404">
        <f>IF(ISNUMBER(C9/Datos!BH9),C9/Datos!BH9," - ")</f>
        <v>1483.3333333333333</v>
      </c>
      <c r="E9" s="403">
        <f>IF(ISNUMBER(IF(J_V="SI",Datos!J9,Datos!J9+Datos!Z9)),IF(J_V="SI",Datos!J9,Datos!J9+Datos!Z9)," - ")</f>
        <v>3282</v>
      </c>
      <c r="F9" s="404">
        <f>IF(ISNUMBER(E9/B9),E9/B9," - ")</f>
        <v>547</v>
      </c>
      <c r="G9" s="403">
        <f>IF(ISNUMBER(IF(J_V="SI",Datos!K9,Datos!K9+Datos!AA9)),IF(J_V="SI",Datos!K9,Datos!K9+Datos!AA9)," - ")</f>
        <v>2596</v>
      </c>
      <c r="H9" s="404">
        <f>IF(ISNUMBER(G9/B9),G9/B9," - ")</f>
        <v>432.66666666666669</v>
      </c>
      <c r="I9" s="403">
        <f>IF(ISNUMBER(IF(J_V="SI",Datos!L9,Datos!L9+Datos!AB9)),IF(J_V="SI",Datos!L9,Datos!L9+Datos!AB9)," - ")</f>
        <v>9583</v>
      </c>
      <c r="J9" s="404">
        <f>IF(ISNUMBER(I9/B9),I9/B9," - ")</f>
        <v>1597.1666666666667</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133</v>
      </c>
      <c r="D10" s="404">
        <f>IF(ISNUMBER(C10/Datos!BH10),C10/Datos!BH10," - ")</f>
        <v>133</v>
      </c>
      <c r="E10" s="403">
        <f>IF(ISNUMBER(Datos!J10),Datos!J10," - ")</f>
        <v>33</v>
      </c>
      <c r="F10" s="404">
        <f>IF(ISNUMBER(E10/B10),E10/B10," - ")</f>
        <v>33</v>
      </c>
      <c r="G10" s="403">
        <f>IF(ISNUMBER(Datos!K10),Datos!K10," - ")</f>
        <v>35</v>
      </c>
      <c r="H10" s="404">
        <f>IF(ISNUMBER(G10/B10),G10/B10," - ")</f>
        <v>35</v>
      </c>
      <c r="I10" s="403">
        <f>IF(ISNUMBER(Datos!L10),Datos!L10," - ")</f>
        <v>131</v>
      </c>
      <c r="J10" s="404">
        <f>IF(ISNUMBER(I10/B10),I10/B10," - ")</f>
        <v>131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9033</v>
      </c>
      <c r="D13" s="850" t="str">
        <f>IF(ISNUMBER(C13/Datos!BI13),C13/Datos!BI13," - ")</f>
        <v xml:space="preserve"> - </v>
      </c>
      <c r="E13" s="849">
        <f>SUBTOTAL(9,E8:E12)</f>
        <v>3315</v>
      </c>
      <c r="F13" s="850">
        <f>IF(ISNUMBER(E13/B13),E13/B13," - ")</f>
        <v>473.57142857142856</v>
      </c>
      <c r="G13" s="849">
        <f>SUBTOTAL(9,G8:G12)</f>
        <v>2631</v>
      </c>
      <c r="H13" s="850">
        <f>IF(ISNUMBER(G13/B13),G13/B13," - ")</f>
        <v>375.85714285714283</v>
      </c>
      <c r="I13" s="849">
        <f>SUBTOTAL(9,I8:I12)</f>
        <v>9714</v>
      </c>
      <c r="J13" s="850">
        <f>IF(ISNUMBER(I13/B13),I13/B13," - ")</f>
        <v>1387.7142857142858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1477</v>
      </c>
      <c r="D15" s="404">
        <f>IF(ISNUMBER(C15/Datos!BH15),C15/Datos!BH15," - ")</f>
        <v>369.25</v>
      </c>
      <c r="E15" s="403">
        <f>IF(ISNUMBER(IF(D_I="SI",Datos!J15,Datos!J15+Datos!AD15)),IF(D_I="SI",Datos!J15,Datos!J15+Datos!AD15)," - ")</f>
        <v>1996</v>
      </c>
      <c r="F15" s="404">
        <f>IF(ISNUMBER(E15/B15),E15/B15," - ")</f>
        <v>499</v>
      </c>
      <c r="G15" s="403">
        <f>IF(ISNUMBER(IF(D_I="SI",Datos!K15,Datos!K15+Datos!AE15)),IF(D_I="SI",Datos!K15,Datos!K15+Datos!AE15)," - ")</f>
        <v>2042</v>
      </c>
      <c r="H15" s="404">
        <f>IF(ISNUMBER(G15/B15),G15/B15," - ")</f>
        <v>510.5</v>
      </c>
      <c r="I15" s="403">
        <f>IF(ISNUMBER(IF(D_I="SI",Datos!L15,Datos!L15+Datos!AF15)),IF(D_I="SI",Datos!L15,Datos!L15+Datos!AF15)," - ")</f>
        <v>1508</v>
      </c>
      <c r="J15" s="404">
        <f>IF(ISNUMBER(I15/B15),I15/B15," - ")</f>
        <v>377</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8</v>
      </c>
      <c r="D16" s="404" t="str">
        <f>IF(ISNUMBER(C16/Datos!BH16),C16/Datos!BH16," - ")</f>
        <v xml:space="preserve"> - </v>
      </c>
      <c r="E16" s="403">
        <f>IF(ISNUMBER(IF(D_I="SI",Datos!J16,Datos!J16+Datos!AD16)),IF(D_I="SI",Datos!J16,Datos!J16+Datos!AD16)," - ")</f>
        <v>0</v>
      </c>
      <c r="F16" s="404" t="str">
        <f>IF(ISNUMBER(E16/B16),E16/B16," - ")</f>
        <v xml:space="preserve"> - </v>
      </c>
      <c r="G16" s="403">
        <f>IF(ISNUMBER(IF(D_I="SI",Datos!K16,Datos!K16+Datos!AE16)),IF(D_I="SI",Datos!K16,Datos!K16+Datos!AE16)," - ")</f>
        <v>0</v>
      </c>
      <c r="H16" s="404" t="str">
        <f>IF(ISNUMBER(G16/B16),G16/B16," - ")</f>
        <v xml:space="preserve"> - </v>
      </c>
      <c r="I16" s="403">
        <f>IF(ISNUMBER(IF(D_I="SI",Datos!L16,Datos!L16+Datos!AF16)),IF(D_I="SI",Datos!L16,Datos!L16+Datos!AF16)," - ")</f>
        <v>8</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242</v>
      </c>
      <c r="D17" s="404">
        <f>IF(ISNUMBER(C17/Datos!BH17),C17/Datos!BH17," - ")</f>
        <v>242</v>
      </c>
      <c r="E17" s="403">
        <f>IF(ISNUMBER(IF(D_I="SI",Datos!J17,Datos!J17+Datos!AD17)),IF(D_I="SI",Datos!J17,Datos!J17+Datos!AD17)," - ")</f>
        <v>286</v>
      </c>
      <c r="F17" s="404">
        <f>IF(ISNUMBER(E17/B17),E17/B17," - ")</f>
        <v>286</v>
      </c>
      <c r="G17" s="403">
        <f>IF(ISNUMBER(IF(D_I="SI",Datos!K17,Datos!K17+Datos!AE17)),IF(D_I="SI",Datos!K17,Datos!K17+Datos!AE17)," - ")</f>
        <v>322</v>
      </c>
      <c r="H17" s="404">
        <f>IF(ISNUMBER(G17/B17),G17/B17," - ")</f>
        <v>322</v>
      </c>
      <c r="I17" s="403">
        <f>IF(ISNUMBER(IF(D_I="SI",Datos!L17,Datos!L17+Datos!AF17)),IF(D_I="SI",Datos!L17,Datos!L17+Datos!AF17)," - ")</f>
        <v>206</v>
      </c>
      <c r="J17" s="404">
        <f>IF(ISNUMBER(I17/B17),I17/B17," - ")</f>
        <v>206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1727</v>
      </c>
      <c r="D18" s="850" t="str">
        <f>IF(ISNUMBER(C18/Datos!BI18),C18/Datos!BI18," - ")</f>
        <v xml:space="preserve"> - </v>
      </c>
      <c r="E18" s="849">
        <f>SUBTOTAL(9,E14:E17)</f>
        <v>2282</v>
      </c>
      <c r="F18" s="850">
        <f>IF(ISNUMBER(E18/B18),E18/B18," - ")</f>
        <v>456.4</v>
      </c>
      <c r="G18" s="849">
        <f>SUBTOTAL(9,G14:G17)</f>
        <v>2364</v>
      </c>
      <c r="H18" s="850">
        <f>IF(ISNUMBER(G18/B18),G18/B18," - ")</f>
        <v>472.8</v>
      </c>
      <c r="I18" s="849">
        <f>SUBTOTAL(9,I14:I17)</f>
        <v>1722</v>
      </c>
      <c r="J18" s="850">
        <f>IF(ISNUMBER(I18/B18),I18/B18," - ")</f>
        <v>344.4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11</v>
      </c>
      <c r="C19" s="794">
        <f>SUBTOTAL(9,C9:C18)</f>
        <v>10760</v>
      </c>
      <c r="D19" s="795" t="str">
        <f>IF(ISNUMBER(C19/Datos!BI19),C19/Datos!BI19," - ")</f>
        <v xml:space="preserve"> - </v>
      </c>
      <c r="E19" s="794">
        <f>SUBTOTAL(9,E9:E18)</f>
        <v>5597</v>
      </c>
      <c r="F19" s="795">
        <f>IF(ISNUMBER(E19/B19),E19/B19," - ")</f>
        <v>508.81818181818181</v>
      </c>
      <c r="G19" s="794">
        <f>SUBTOTAL(9,G9:G18)</f>
        <v>4995</v>
      </c>
      <c r="H19" s="795">
        <f>IF(ISNUMBER(G19/B19),G19/B19," - ")</f>
        <v>454.09090909090907</v>
      </c>
      <c r="I19" s="794">
        <f>SUBTOTAL(9,I9:I18)</f>
        <v>11436</v>
      </c>
      <c r="J19" s="795">
        <f>IF(ISNUMBER(I19/B19),I19/B19," - ")</f>
        <v>1039.6363636363637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wvcHJ7aknCwNHVEEjWuq0So1GYpkeKaw4VXPS7VVaDT1vu7FsOX8V+K/Ej/vronWikCVEQTGArHMTqJtwr7D7Q==" saltValue="UnXIdGe08vA6zHhswBelX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TORREJON DE ARDOZ</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Ad9yH3LkrcCNmiCwThdiDJQ5J4avdRcIB7gzgnJMWVhGNtgVW0R2fV2EAsdZvPpTIMsyo6SZtKb91cSTBqQztg==" saltValue="sewGubkviJqGKSdtR2Bvp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TORREJON DE ARDOZ</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528</v>
      </c>
      <c r="E9" s="404">
        <f t="shared" ref="E9:E13" si="0">IF(ISNUMBER(D9/B9),D9/B9," - ")</f>
        <v>88</v>
      </c>
      <c r="F9" s="403">
        <f>IF(ISNUMBER(Datos!N9),Datos!N9," - ")</f>
        <v>1496</v>
      </c>
      <c r="G9" s="404">
        <f t="shared" ref="G9:G13" si="1">IF(ISNUMBER(F9/B9),F9/B9," - ")</f>
        <v>249.33333333333334</v>
      </c>
      <c r="H9" s="403">
        <f>IF(ISNUMBER(Datos!O9),Datos!O9," - ")</f>
        <v>737</v>
      </c>
      <c r="I9" s="404">
        <f>IF(ISNUMBER(H9/B9),H9/B9," - ")</f>
        <v>122.83333333333333</v>
      </c>
      <c r="BZ9" s="1186">
        <f>Datos!EZ9</f>
        <v>0</v>
      </c>
    </row>
    <row r="10" spans="1:78">
      <c r="A10" s="402" t="str">
        <f>Datos!A10</f>
        <v>Jdos. Violencia contra la mujer</v>
      </c>
      <c r="B10" s="427">
        <f>Datos!AO10</f>
        <v>1</v>
      </c>
      <c r="C10" s="410">
        <f>Datos!AQ10</f>
        <v>1</v>
      </c>
      <c r="D10" s="403">
        <f>IF(ISNUMBER(Datos!M10),Datos!M10," - ")</f>
        <v>14</v>
      </c>
      <c r="E10" s="404">
        <f>IF(ISNUMBER(D10/B10),D10/B10," - ")</f>
        <v>14</v>
      </c>
      <c r="F10" s="403">
        <f>IF(ISNUMBER(Datos!N10),Datos!N10," - ")</f>
        <v>8</v>
      </c>
      <c r="G10" s="404">
        <f>IF(ISNUMBER(F10/B10),F10/B10," - ")</f>
        <v>8</v>
      </c>
      <c r="H10" s="403">
        <f>IF(ISNUMBER(Datos!O10),Datos!O10," - ")</f>
        <v>5</v>
      </c>
      <c r="I10" s="404">
        <f t="shared" ref="I10:I12" si="2">IF(ISNUMBER(H10/B10),H10/B10," - ")</f>
        <v>5</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7</v>
      </c>
      <c r="C13" s="851">
        <f>Datos!AR13</f>
        <v>7</v>
      </c>
      <c r="D13" s="849">
        <f>SUBTOTAL(9,D9:D12)</f>
        <v>542</v>
      </c>
      <c r="E13" s="850">
        <f t="shared" si="0"/>
        <v>77.428571428571431</v>
      </c>
      <c r="F13" s="849">
        <f>SUBTOTAL(9,F9:F12)</f>
        <v>1504</v>
      </c>
      <c r="G13" s="850">
        <f t="shared" si="1"/>
        <v>214.85714285714286</v>
      </c>
      <c r="H13" s="849">
        <f>SUBTOTAL(9,H9:H12)</f>
        <v>742</v>
      </c>
      <c r="I13" s="850">
        <f>IF(ISNUMBER(H13/B13),H13/B13," - ")</f>
        <v>106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214</v>
      </c>
      <c r="E15" s="404">
        <f t="shared" ref="E15:E18" si="3">IF(ISNUMBER(D15/B15),D15/B15," - ")</f>
        <v>53.5</v>
      </c>
      <c r="F15" s="403">
        <f>IF(ISNUMBER(Datos!N15),Datos!N15," - ")</f>
        <v>1275</v>
      </c>
      <c r="G15" s="404">
        <f t="shared" ref="G15:G18" si="4">IF(ISNUMBER(F15/B15),F15/B15," - ")</f>
        <v>318.75</v>
      </c>
      <c r="H15" s="403">
        <f>IF(ISNUMBER(Datos!O15),Datos!O15," - ")</f>
        <v>68</v>
      </c>
      <c r="I15" s="404">
        <f t="shared" ref="I15:I17" si="5">IF(ISNUMBER(H15/B15),H15/B15," - ")</f>
        <v>17</v>
      </c>
      <c r="BZ15" s="1186">
        <f>Datos!EZ15</f>
        <v>0</v>
      </c>
    </row>
    <row r="16" spans="1:78">
      <c r="A16" s="402" t="str">
        <f>Datos!A16</f>
        <v xml:space="preserve">Jdos. 1ª Instª. e Instr.                        </v>
      </c>
      <c r="B16" s="427">
        <f>Datos!AO16</f>
        <v>0</v>
      </c>
      <c r="C16" s="428">
        <f>Datos!AQ16</f>
        <v>0</v>
      </c>
      <c r="D16" s="403">
        <f>IF(ISNUMBER(Datos!M16),Datos!M16," - ")</f>
        <v>0</v>
      </c>
      <c r="E16" s="404" t="str">
        <f t="shared" si="3"/>
        <v xml:space="preserve"> - </v>
      </c>
      <c r="F16" s="403">
        <f>IF(ISNUMBER(Datos!N16),Datos!N16," - ")</f>
        <v>0</v>
      </c>
      <c r="G16" s="404" t="str">
        <f t="shared" si="4"/>
        <v xml:space="preserve"> - </v>
      </c>
      <c r="H16" s="403">
        <f>IF(ISNUMBER(Datos!O16),Datos!O16," - ")</f>
        <v>0</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18</v>
      </c>
      <c r="E17" s="404">
        <f>IF(ISNUMBER(D17/B17),D17/B17," - ")</f>
        <v>18</v>
      </c>
      <c r="F17" s="403">
        <f>IF(ISNUMBER(Datos!N17),Datos!N17," - ")</f>
        <v>202</v>
      </c>
      <c r="G17" s="404">
        <f>IF(ISNUMBER(F17/B17),F17/B17," - ")</f>
        <v>202</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232</v>
      </c>
      <c r="E18" s="850">
        <f t="shared" si="3"/>
        <v>46.4</v>
      </c>
      <c r="F18" s="849">
        <f>SUBTOTAL(9,F15:F17)</f>
        <v>1477</v>
      </c>
      <c r="G18" s="850">
        <f t="shared" si="4"/>
        <v>295.39999999999998</v>
      </c>
      <c r="H18" s="849">
        <f>SUBTOTAL(9,H15:H17)</f>
        <v>68</v>
      </c>
      <c r="I18" s="850">
        <f>IF(ISNUMBER(H18/B18),H18/B18," - ")</f>
        <v>13.6</v>
      </c>
      <c r="BZ18" s="1186"/>
    </row>
    <row r="19" spans="1:78" ht="14.25" thickTop="1" thickBot="1">
      <c r="A19" s="793" t="str">
        <f>Datos!A19</f>
        <v>TOTAL JURISDICCIONES</v>
      </c>
      <c r="B19" s="794">
        <f>Datos!AP19</f>
        <v>11</v>
      </c>
      <c r="C19" s="794">
        <f>Datos!AR19</f>
        <v>11</v>
      </c>
      <c r="D19" s="794">
        <f>SUBTOTAL(9,D8:D18)</f>
        <v>774</v>
      </c>
      <c r="E19" s="795">
        <f>IF(ISNUMBER(D19/B19),D19/B19," - ")</f>
        <v>70.36363636363636</v>
      </c>
      <c r="F19" s="794">
        <f>SUBTOTAL(9,F8:F18)</f>
        <v>2981</v>
      </c>
      <c r="G19" s="795">
        <f>IF(ISNUMBER(F19/B19),F19/B19," - ")</f>
        <v>271</v>
      </c>
      <c r="H19" s="794">
        <f>SUBTOTAL(9,H8:H18)</f>
        <v>810</v>
      </c>
      <c r="I19" s="795">
        <f>IF(ISNUMBER(H19/B19),H19/B19," - ")</f>
        <v>73.63636363636364</v>
      </c>
    </row>
    <row r="22" spans="1:78">
      <c r="A22" s="391" t="str">
        <f>Criterios!A4</f>
        <v>Fecha Informe: 29 nov. 2024</v>
      </c>
    </row>
    <row r="27" spans="1:78">
      <c r="A27" s="414"/>
    </row>
  </sheetData>
  <sheetProtection algorithmName="SHA-512" hashValue="4W3k3+VAdOC0fHmv+7qL74U9GuH2sax37mOMMhazn4vQq0R7LNx98ytgeLCnRi3iiA5JKMOGPo6A07mgeLFOSg==" saltValue="NhdXD6YSunXxQz7w01taz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TORREJON DE ARDOZ</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501</v>
      </c>
      <c r="C9" s="434">
        <f>IF(ISNUMBER(Datos!Q9),Datos!Q9," - ")</f>
        <v>346</v>
      </c>
      <c r="D9" s="408">
        <f>IF(ISNUMBER(Datos!R9),Datos!R9," - ")</f>
        <v>8609</v>
      </c>
    </row>
    <row r="10" spans="1:4">
      <c r="A10" s="402" t="str">
        <f>Datos!A10</f>
        <v>Jdos. Violencia contra la mujer</v>
      </c>
      <c r="B10" s="433">
        <f>IF(ISNUMBER(Datos!P10),Datos!P10," - ")</f>
        <v>8</v>
      </c>
      <c r="C10" s="434">
        <f>IF(ISNUMBER(Datos!Q10),Datos!Q10," - ")</f>
        <v>4</v>
      </c>
      <c r="D10" s="408">
        <f>IF(ISNUMBER(Datos!R10),Datos!R10," - ")</f>
        <v>76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509</v>
      </c>
      <c r="C13" s="853">
        <f>SUBTOTAL(9,C9:C12)</f>
        <v>350</v>
      </c>
      <c r="D13" s="851">
        <f>SUBTOTAL(9,D9:D12)</f>
        <v>8685</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54</v>
      </c>
      <c r="C15" s="434">
        <f>IF(ISNUMBER(Datos!Q15),Datos!Q15," - ")</f>
        <v>93</v>
      </c>
      <c r="D15" s="408">
        <f>IF(ISNUMBER(Datos!R15),Datos!R15," - ")</f>
        <v>249</v>
      </c>
    </row>
    <row r="16" spans="1:4">
      <c r="A16" s="402" t="str">
        <f>Datos!A16</f>
        <v xml:space="preserve">Jdos. 1ª Instª. e Instr.                        </v>
      </c>
      <c r="B16" s="433">
        <f>IF(ISNUMBER(Datos!P16),Datos!P16," - ")</f>
        <v>0</v>
      </c>
      <c r="C16" s="434">
        <f>IF(ISNUMBER(Datos!Q16),Datos!Q16," - ")</f>
        <v>0</v>
      </c>
      <c r="D16" s="408">
        <f>IF(ISNUMBER(Datos!R16),Datos!R16," - ")</f>
        <v>0</v>
      </c>
    </row>
    <row r="17" spans="1:4" ht="13.5" thickBot="1">
      <c r="A17" s="402" t="str">
        <f>Datos!A17</f>
        <v>Jdos. Violencia contra la mujer</v>
      </c>
      <c r="B17" s="433">
        <f>IF(ISNUMBER(Datos!P17),Datos!P17," - ")</f>
        <v>1</v>
      </c>
      <c r="C17" s="434">
        <f>IF(ISNUMBER(Datos!Q17),Datos!Q17," - ")</f>
        <v>0</v>
      </c>
      <c r="D17" s="408">
        <f>IF(ISNUMBER(Datos!R17),Datos!R17," - ")</f>
        <v>9</v>
      </c>
    </row>
    <row r="18" spans="1:4" ht="14.25" thickTop="1" thickBot="1">
      <c r="A18" s="848" t="str">
        <f>Datos!A18</f>
        <v>TOTAL</v>
      </c>
      <c r="B18" s="849">
        <f>SUBTOTAL(9,B15:B17)</f>
        <v>55</v>
      </c>
      <c r="C18" s="853">
        <f>SUBTOTAL(9,C15:C17)</f>
        <v>93</v>
      </c>
      <c r="D18" s="851">
        <f>SUBTOTAL(9,D15:D17)</f>
        <v>258</v>
      </c>
    </row>
    <row r="19" spans="1:4" ht="16.5" customHeight="1" thickTop="1" thickBot="1">
      <c r="A19" s="793" t="str">
        <f>Datos!A19</f>
        <v>TOTAL JURISDICCIONES</v>
      </c>
      <c r="B19" s="798">
        <f>SUBTOTAL(9,B8:B18)</f>
        <v>564</v>
      </c>
      <c r="C19" s="799">
        <f>SUBTOTAL(9,C8:C18)</f>
        <v>443</v>
      </c>
      <c r="D19" s="800">
        <f>SUBTOTAL(9,D8:D18)</f>
        <v>8943</v>
      </c>
    </row>
    <row r="20" spans="1:4" ht="7.5" customHeight="1"/>
    <row r="21" spans="1:4" ht="6" customHeight="1"/>
    <row r="22" spans="1:4">
      <c r="A22" s="391" t="str">
        <f>Criterios!A4</f>
        <v>Fecha Informe: 29 nov. 2024</v>
      </c>
    </row>
    <row r="27" spans="1:4">
      <c r="A27" s="414"/>
    </row>
  </sheetData>
  <sheetProtection algorithmName="SHA-512" hashValue="q8vqyE/rtzuYEgN6j7ROHUnbq8d2QaUeucUMQ2Ih1luavNnDVOc+7FNFkVTV952twG1UIsjHO7izn/51gsyX1g==" saltValue="1T1Sgwwq2fX/cxdYElYgW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TORREJON DE ARDOZ</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0.10875794194593248</v>
      </c>
      <c r="C9" s="456">
        <f>IF(ISNUMBER(
   IF(J_V="SI",(Datos!J9-Datos!T9)/Datos!T9,(Datos!J9+Datos!Z9-(Datos!T9+Datos!AH9))/(Datos!T9+Datos!AH9))
     ),IF(J_V="SI",(Datos!J9-Datos!T9)/Datos!T9,(Datos!J9+Datos!Z9-(Datos!T9+Datos!AH9))/(Datos!T9+Datos!AH9))," - ")</f>
        <v>0.10915849949307198</v>
      </c>
      <c r="D9" s="456">
        <f>IF(ISNUMBER(
   IF(J_V="SI",(Datos!K9-Datos!U9)/Datos!U9,(Datos!K9+Datos!AA9-(Datos!U9+Datos!AI9))/(Datos!U9+Datos!AI9))
     ),IF(J_V="SI",(Datos!K9-Datos!U9)/Datos!U9,(Datos!K9+Datos!AA9-(Datos!U9+Datos!AI9))/(Datos!U9+Datos!AI9))," - ")</f>
        <v>-8.4033613445378148E-3</v>
      </c>
      <c r="E9" s="456">
        <f>IF(ISNUMBER(
   IF(J_V="SI",(Datos!L9-Datos!V9)/Datos!V9,(Datos!L9+Datos!AB9-(Datos!V9+Datos!AJ9))/(Datos!V9+Datos!AJ9))
     ),IF(J_V="SI",(Datos!L9-Datos!V9)/Datos!V9,(Datos!L9+Datos!AB9-(Datos!V9+Datos!AJ9))/(Datos!V9+Datos!AJ9))," - ")</f>
        <v>0.13073746312684364</v>
      </c>
      <c r="F9" s="456">
        <f>IF(ISNUMBER((Datos!M9-Datos!W9)/Datos!W9),(Datos!M9-Datos!W9)/Datos!W9," - ")</f>
        <v>0.6</v>
      </c>
      <c r="G9" s="457">
        <f>IF(ISNUMBER((Datos!N9-Datos!X9)/Datos!X9),(Datos!N9-Datos!X9)/Datos!X9," - ")</f>
        <v>-9.057750759878419E-2</v>
      </c>
      <c r="H9" s="455">
        <f>IF(ISNUMBER(((NºAsuntos!G9/NºAsuntos!E9)-Datos!BD9)/Datos!BD9),((NºAsuntos!G9/NºAsuntos!E9)-Datos!BD9)/Datos!BD9," - ")</f>
        <v>-0.10599193973750379</v>
      </c>
      <c r="I9" s="456">
        <f>IF(ISNUMBER(((NºAsuntos!I9/NºAsuntos!G9)-Datos!BE9)/Datos!BE9),((NºAsuntos!I9/NºAsuntos!G9)-Datos!BE9)/Datos!BE9," - ")</f>
        <v>0.14031998400079995</v>
      </c>
      <c r="J9" s="461">
        <f>IF(ISNUMBER((('Resol  Asuntos'!D9/NºAsuntos!G9)-Datos!BF9)/Datos!BF9),(('Resol  Asuntos'!D9/NºAsuntos!G9)-Datos!BF9)/Datos!BF9," - ")</f>
        <v>-0.67630724846736379</v>
      </c>
      <c r="K9" s="462">
        <f>IF(ISNUMBER((((NºAsuntos!C9+NºAsuntos!E9)/NºAsuntos!G9)-Datos!BG9)/Datos!BG9),(((NºAsuntos!C9+NºAsuntos!E9)/NºAsuntos!G9)-Datos!BG9)/Datos!BG9," - ")</f>
        <v>0.11826299728159413</v>
      </c>
    </row>
    <row r="10" spans="1:11">
      <c r="A10" s="402" t="str">
        <f>Datos!A10</f>
        <v>Jdos. Violencia contra la mujer</v>
      </c>
      <c r="B10" s="455">
        <f>IF(ISNUMBER((Datos!I10-Datos!S10)/Datos!S10),(Datos!I10-Datos!S10)/Datos!S10," - ")</f>
        <v>9.0163934426229511E-2</v>
      </c>
      <c r="C10" s="456">
        <f>IF(ISNUMBER((Datos!J10-Datos!T10)/Datos!T10),(Datos!J10-Datos!T10)/Datos!T10," - ")</f>
        <v>6.4516129032258063E-2</v>
      </c>
      <c r="D10" s="456">
        <f>IF(ISNUMBER((Datos!K10-Datos!U10)/Datos!U10),(Datos!K10-Datos!U10)/Datos!U10," - ")</f>
        <v>0.12903225806451613</v>
      </c>
      <c r="E10" s="456">
        <f>IF(ISNUMBER((Datos!L10-Datos!V10)/Datos!V10),(Datos!L10-Datos!V10)/Datos!V10," - ")</f>
        <v>7.3770491803278687E-2</v>
      </c>
      <c r="F10" s="456">
        <f>IF(ISNUMBER((Datos!M10-Datos!W10)/Datos!W10),(Datos!M10-Datos!W10)/Datos!W10," - ")</f>
        <v>1</v>
      </c>
      <c r="G10" s="457">
        <f>IF(ISNUMBER((Datos!N10-Datos!X10)/Datos!X10),(Datos!N10-Datos!X10)/Datos!X10," - ")</f>
        <v>0</v>
      </c>
      <c r="H10" s="455">
        <f>IF(ISNUMBER(((NºAsuntos!G10/NºAsuntos!E10)-Datos!BD10)/Datos!BD10),((NºAsuntos!G10/NºAsuntos!E10)-Datos!BD10)/Datos!BD10," - ")</f>
        <v>6.0606060606060552E-2</v>
      </c>
      <c r="I10" s="456">
        <f>IF(ISNUMBER(((NºAsuntos!I10/NºAsuntos!G10)-Datos!BE10)/Datos!BE10),((NºAsuntos!I10/NºAsuntos!G10)-Datos!BE10)/Datos!BE10," - ")</f>
        <v>-4.8946135831381743E-2</v>
      </c>
      <c r="J10" s="461">
        <f>IF(ISNUMBER((('Resol  Asuntos'!D10/NºAsuntos!G10)-Datos!BF10)/Datos!BF10),(('Resol  Asuntos'!D10/NºAsuntos!G10)-Datos!BF10)/Datos!BF10," - ")</f>
        <v>0.77142857142857157</v>
      </c>
      <c r="K10" s="462">
        <f>IF(ISNUMBER((((NºAsuntos!C10+NºAsuntos!E10)/NºAsuntos!G10)-Datos!BG10)/Datos!BG10),(((NºAsuntos!C10+NºAsuntos!E10)/NºAsuntos!G10)-Datos!BG10)/Datos!BG10," - ")</f>
        <v>-3.902894491129786E-2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0.10847956804515892</v>
      </c>
      <c r="C13" s="855">
        <f>IF(ISNUMBER(
   IF(J_V="SI",(Datos!J13-Datos!T13)/Datos!T13,(Datos!J13+Datos!Z13-(Datos!T13+Datos!AH13))/(Datos!T13+Datos!AH13))
     ),IF(J_V="SI",(Datos!J13-Datos!T13)/Datos!T13,(Datos!J13+Datos!Z13-(Datos!T13+Datos!AH13))/(Datos!T13+Datos!AH13))," - ")</f>
        <v>0.10869565217391304</v>
      </c>
      <c r="D13" s="855">
        <f>IF(ISNUMBER(
   IF(J_V="SI",(Datos!K13-Datos!U13)/Datos!U13,(Datos!K13+Datos!AA13-(Datos!U13+Datos!AI13))/(Datos!U13+Datos!AI13))
     ),IF(J_V="SI",(Datos!K13-Datos!U13)/Datos!U13,(Datos!K13+Datos!AA13-(Datos!U13+Datos!AI13))/(Datos!U13+Datos!AI13))," - ")</f>
        <v>-6.7950169875424689E-3</v>
      </c>
      <c r="E13" s="855">
        <f>IF(ISNUMBER(
   IF(J_V="SI",(Datos!L13-Datos!V13)/Datos!V13,(Datos!L13+Datos!AB13-(Datos!V13+Datos!AJ13))/(Datos!V13+Datos!AJ13))
     ),IF(J_V="SI",(Datos!L13-Datos!V13)/Datos!V13,(Datos!L13+Datos!AB13-(Datos!V13+Datos!AJ13))/(Datos!V13+Datos!AJ13))," - ")</f>
        <v>0.12992904501570315</v>
      </c>
      <c r="F13" s="856">
        <f>IF(ISNUMBER((Datos!M13-Datos!W13)/Datos!W13),(Datos!M13-Datos!W13)/Datos!W13," - ")</f>
        <v>0.60830860534124631</v>
      </c>
      <c r="G13" s="857">
        <f>IF(ISNUMBER((Datos!N13-Datos!X13)/Datos!X13),(Datos!N13-Datos!X13)/Datos!X13," - ")</f>
        <v>-9.0139140955837874E-2</v>
      </c>
      <c r="H13" s="857">
        <f>IF(ISNUMBER(((NºAsuntos!G13/NºAsuntos!E13)-Datos!BD13)/Datos!BD13),((NºAsuntos!G13/NºAsuntos!E13)-Datos!BD13)/Datos!BD13," - ")</f>
        <v>-0.10416805453778347</v>
      </c>
      <c r="I13" s="857">
        <f>IF(ISNUMBER(((NºAsuntos!I13/NºAsuntos!G13)-Datos!BE13)/Datos!BE13),((NºAsuntos!I13/NºAsuntos!G13)-Datos!BE13)/Datos!BE13," - ")</f>
        <v>0.13765946037498972</v>
      </c>
      <c r="J13" s="857">
        <f>IF(ISNUMBER((('Resol  Asuntos'!D13/NºAsuntos!G13)-Datos!BF13)/Datos!BF13),(('Resol  Asuntos'!D13/NºAsuntos!G13)-Datos!BF13)/Datos!BF13," - ")</f>
        <v>-0.66966822289281369</v>
      </c>
      <c r="K13" s="857">
        <f>IF(ISNUMBER((((NºAsuntos!C13+NºAsuntos!E13)/NºAsuntos!G13)-Datos!BG13)/Datos!BG13),(((NºAsuntos!C13+NºAsuntos!E13)/NºAsuntos!G13)-Datos!BG13)/Datos!BG13," - ")</f>
        <v>0.11612163617552551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0.25488530161427359</v>
      </c>
      <c r="C15" s="456">
        <f>IF(ISNUMBER(
   IF(D_I="SI",(Datos!J15-Datos!T15)/Datos!T15,(Datos!J15+Datos!AD15-(Datos!T15+Datos!AL15))/(Datos!T15+Datos!AL15))
     ),IF(D_I="SI",(Datos!J15-Datos!T15)/Datos!T15,(Datos!J15+Datos!AD15-(Datos!T15+Datos!AL15))/(Datos!T15+Datos!AL15))," - ")</f>
        <v>4.6121593291404611E-2</v>
      </c>
      <c r="D15" s="456">
        <f>IF(ISNUMBER(
   IF(D_I="SI",(Datos!K15-Datos!U15)/Datos!U15,(Datos!K15+Datos!AE15-(Datos!U15+Datos!AM15))/(Datos!U15+Datos!AM15))
     ),IF(D_I="SI",(Datos!K15-Datos!U15)/Datos!U15,(Datos!K15+Datos!AE15-(Datos!U15+Datos!AM15))/(Datos!U15+Datos!AM15))," - ")</f>
        <v>5.7483169342309681E-2</v>
      </c>
      <c r="E15" s="456">
        <f>IF(ISNUMBER(
   IF(D_I="SI",(Datos!L15-Datos!V15)/Datos!V15,(Datos!L15+Datos!AF15-(Datos!V15+Datos!AN15))/(Datos!V15+Datos!AN15))
     ),IF(D_I="SI",(Datos!L15-Datos!V15)/Datos!V15,(Datos!L15+Datos!AF15-(Datos!V15+Datos!AN15))/(Datos!V15+Datos!AN15))," - ")</f>
        <v>0.19398258115597783</v>
      </c>
      <c r="F15" s="456">
        <f>IF(ISNUMBER((Datos!M15-Datos!W15)/Datos!W15),(Datos!M15-Datos!W15)/Datos!W15," - ")</f>
        <v>-7.7586206896551727E-2</v>
      </c>
      <c r="G15" s="457">
        <f>IF(ISNUMBER((Datos!N15-Datos!X15)/Datos!X15),(Datos!N15-Datos!X15)/Datos!X15," - ")</f>
        <v>4.1666666666666664E-2</v>
      </c>
      <c r="H15" s="455">
        <f>IF(ISNUMBER(((NºAsuntos!G15/NºAsuntos!E15)-Datos!BD15)/Datos!BD15),((NºAsuntos!G15/NºAsuntos!E15)-Datos!BD15)/Datos!BD15," - ")</f>
        <v>1.0860664882328046E-2</v>
      </c>
      <c r="I15" s="456">
        <f>IF(ISNUMBER(((NºAsuntos!I15/NºAsuntos!G15)-Datos!BE15)/Datos!BE15),((NºAsuntos!I15/NºAsuntos!G15)-Datos!BE15)/Datos!BE15," - ")</f>
        <v>0.1290795123468135</v>
      </c>
      <c r="J15" s="461">
        <f>IF(ISNUMBER((('Resol  Asuntos'!D15/NºAsuntos!G15)-Datos!BF15)/Datos!BF15),(('Resol  Asuntos'!D15/NºAsuntos!G15)-Datos!BF15)/Datos!BF15," - ")</f>
        <v>-0.12772721132088219</v>
      </c>
      <c r="K15" s="462">
        <f>IF(ISNUMBER((((NºAsuntos!C15+NºAsuntos!E15)/NºAsuntos!G15)-Datos!BG15)/Datos!BG15),(((NºAsuntos!C15+NºAsuntos!E15)/NºAsuntos!G15)-Datos!BG15)/Datos!BG15," - ")</f>
        <v>6.4574724941543593E-2</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f>IF(ISNUMBER(
   IF(D_I="SI",(Datos!L16-Datos!V16)/Datos!V16,(Datos!L16+Datos!AF16-(Datos!V16+Datos!AN16))/(Datos!V16+Datos!AN16))
     ),IF(D_I="SI",(Datos!L16-Datos!V16)/Datos!V16,(Datos!L16+Datos!AF16-(Datos!V16+Datos!AN16))/(Datos!V16+Datos!AN16))," - ")</f>
        <v>0</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0.14691943127962084</v>
      </c>
      <c r="C17" s="456">
        <f>IF(ISNUMBER(
   IF(D_I="SI",(Datos!J17-Datos!T17)/Datos!T17,(Datos!J17+Datos!AD17-(Datos!T17+Datos!AL17))/(Datos!T17+Datos!AL17))
     ),IF(D_I="SI",(Datos!J17-Datos!T17)/Datos!T17,(Datos!J17+Datos!AD17-(Datos!T17+Datos!AL17))/(Datos!T17+Datos!AL17))," - ")</f>
        <v>-0.19436619718309858</v>
      </c>
      <c r="D17" s="456">
        <f>IF(ISNUMBER(
   IF(D_I="SI",(Datos!K17-Datos!U17)/Datos!U17,(Datos!K17+Datos!AE17-(Datos!U17+Datos!AM17))/(Datos!U17+Datos!AM17))
     ),IF(D_I="SI",(Datos!K17-Datos!U17)/Datos!U17,(Datos!K17+Datos!AE17-(Datos!U17+Datos!AM17))/(Datos!U17+Datos!AM17))," - ")</f>
        <v>-7.4712643678160925E-2</v>
      </c>
      <c r="E17" s="456">
        <f>IF(ISNUMBER(
   IF(D_I="SI",(Datos!L17-Datos!V17)/Datos!V17,(Datos!L17+Datos!AF17-(Datos!V17+Datos!AN17))/(Datos!V17+Datos!AN17))
     ),IF(D_I="SI",(Datos!L17-Datos!V17)/Datos!V17,(Datos!L17+Datos!AF17-(Datos!V17+Datos!AN17))/(Datos!V17+Datos!AN17))," - ")</f>
        <v>-0.10434782608695652</v>
      </c>
      <c r="F17" s="456">
        <f>IF(ISNUMBER((Datos!M17-Datos!W17)/Datos!W17),(Datos!M17-Datos!W17)/Datos!W17," - ")</f>
        <v>-0.21739130434782608</v>
      </c>
      <c r="G17" s="457">
        <f>IF(ISNUMBER((Datos!N17-Datos!X17)/Datos!X17),(Datos!N17-Datos!X17)/Datos!X17," - ")</f>
        <v>2.0202020202020204E-2</v>
      </c>
      <c r="H17" s="455">
        <f>IF(ISNUMBER(((NºAsuntos!G17/NºAsuntos!E17)-Datos!BD17)/Datos!BD17),((NºAsuntos!G17/NºAsuntos!E17)-Datos!BD17)/Datos!BD17," - ")</f>
        <v>0.14852101921067432</v>
      </c>
      <c r="I17" s="456">
        <f>IF(ISNUMBER(((NºAsuntos!I17/NºAsuntos!G17)-Datos!BE17)/Datos!BE17),((NºAsuntos!I17/NºAsuntos!G17)-Datos!BE17)/Datos!BE17," - ")</f>
        <v>-3.2028085336213936E-2</v>
      </c>
      <c r="J17" s="461">
        <f>IF(ISNUMBER((('Resol  Asuntos'!D17/NºAsuntos!G17)-Datos!BF17)/Datos!BF17),(('Resol  Asuntos'!D17/NºAsuntos!G17)-Datos!BF17)/Datos!BF17," - ")</f>
        <v>-0.15419929786659467</v>
      </c>
      <c r="K17" s="462">
        <f>IF(ISNUMBER((((NºAsuntos!C17+NºAsuntos!E17)/NºAsuntos!G17)-Datos!BG17)/Datos!BG17),(((NºAsuntos!C17+NºAsuntos!E17)/NºAsuntos!G17)-Datos!BG17)/Datos!BG17," - ")</f>
        <v>8.1864670895244133E-3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0.23710601719197708</v>
      </c>
      <c r="C18" s="855">
        <f>IF(ISNUMBER(
   IF(Criterios!B14="SI",(Datos!J18-Datos!T18)/Datos!T18,(Datos!J18+Datos!AD18-(Datos!T18+Datos!AL18))/(Datos!T18+Datos!AL18))
     ),IF(Criterios!B14="SI",(Datos!J18-Datos!T18)/Datos!T18,(Datos!J18+Datos!AD18-(Datos!T18+Datos!AL18))/(Datos!T18+Datos!AL18))," - ")</f>
        <v>8.395934600088379E-3</v>
      </c>
      <c r="D18" s="855">
        <f>IF(ISNUMBER(
   IF(Criterios!B14="SI",(Datos!K18-Datos!U18)/Datos!U18,(Datos!K18+Datos!AE18-(Datos!U18+Datos!AM18))/(Datos!U18+Datos!AM18))
     ),IF(Criterios!B14="SI",(Datos!K18-Datos!U18)/Datos!U18,(Datos!K18+Datos!AE18-(Datos!U18+Datos!AM18))/(Datos!U18+Datos!AM18))," - ")</f>
        <v>3.7297060114085123E-2</v>
      </c>
      <c r="E18" s="855">
        <f>IF(ISNUMBER(
   IF(Criterios!B14="SI",(Datos!L18-Datos!V18)/Datos!V18,(Datos!L18+Datos!AF18-(Datos!V18+Datos!AN18))/(Datos!V18+Datos!AN18))
     ),IF(Criterios!B14="SI",(Datos!L18-Datos!V18)/Datos!V18,(Datos!L18+Datos!AF18-(Datos!V18+Datos!AN18))/(Datos!V18+Datos!AN18))," - ")</f>
        <v>0.14723517654896737</v>
      </c>
      <c r="F18" s="856">
        <f>IF(ISNUMBER((Datos!M18-Datos!W18)/Datos!W18),(Datos!M18-Datos!W18)/Datos!W18," - ")</f>
        <v>-9.0196078431372548E-2</v>
      </c>
      <c r="G18" s="857">
        <f>IF(ISNUMBER((Datos!N18-Datos!X18)/Datos!X18),(Datos!N18-Datos!X18)/Datos!X18," - ")</f>
        <v>3.867791842475387E-2</v>
      </c>
      <c r="H18" s="857">
        <f>IF(ISNUMBER(((NºAsuntos!G18/NºAsuntos!E18)-Datos!BD18)/Datos!BD18),((NºAsuntos!G18/NºAsuntos!E18)-Datos!BD18)/Datos!BD18," - ")</f>
        <v>2.8660493881759321E-2</v>
      </c>
      <c r="I18" s="857">
        <f>IF(ISNUMBER(((NºAsuntos!I18/NºAsuntos!G18)-Datos!BE18)/Datos!BE18),((NºAsuntos!I18/NºAsuntos!G18)-Datos!BE18)/Datos!BE18," - ")</f>
        <v>0.10598518077626765</v>
      </c>
      <c r="J18" s="857">
        <f>IF(ISNUMBER((('Resol  Asuntos'!D18/NºAsuntos!G18)-Datos!BF18)/Datos!BF18),(('Resol  Asuntos'!D18/NºAsuntos!G18)-Datos!BF18)/Datos!BF18," - ")</f>
        <v>-0.12290899439301949</v>
      </c>
      <c r="K18" s="857">
        <f>IF(ISNUMBER((((NºAsuntos!C18+NºAsuntos!E18)/NºAsuntos!G18)-Datos!BG18)/Datos!BG18),(((NºAsuntos!C18+NºAsuntos!E18)/NºAsuntos!G18)-Datos!BG18)/Datos!BG18," - ")</f>
        <v>5.625918799298385E-2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0.12729177579884757</v>
      </c>
      <c r="C19" s="802">
        <f>IF(ISNUMBER(
   IF(J_V="SI",(Datos!J19-Datos!T19)/Datos!T19,(Datos!J19+Datos!Z19-(Datos!T19+Datos!AH19))/(Datos!T19+Datos!AH19))
     ),IF(J_V="SI",(Datos!J19-Datos!T19)/Datos!T19,(Datos!J19+Datos!Z19-(Datos!T19+Datos!AH19))/(Datos!T19+Datos!AH19))," - ")</f>
        <v>6.5486388730249381E-2</v>
      </c>
      <c r="D19" s="802">
        <f>IF(ISNUMBER(
   IF(J_V="SI",(Datos!K19-Datos!U19)/Datos!U19,(Datos!K19+Datos!AA19-(Datos!U19+Datos!AI19))/(Datos!U19+Datos!AI19))
     ),IF(J_V="SI",(Datos!K19-Datos!U19)/Datos!U19,(Datos!K19+Datos!AA19-(Datos!U19+Datos!AI19))/(Datos!U19+Datos!AI19))," - ")</f>
        <v>1.359577922077922E-2</v>
      </c>
      <c r="E19" s="802">
        <f>IF(ISNUMBER(
   IF(J_V="SI",(Datos!L19-Datos!V19)/Datos!V19,(Datos!L19+Datos!AB19-(Datos!V19+Datos!AJ19))/(Datos!V19+Datos!AJ19))
     ),IF(J_V="SI",(Datos!L19-Datos!V19)/Datos!V19,(Datos!L19+Datos!AB19-(Datos!V19+Datos!AJ19))/(Datos!V19+Datos!AJ19))," - ")</f>
        <v>0.13250148544266191</v>
      </c>
      <c r="F19" s="803">
        <f>IF(ISNUMBER((Datos!M19-Datos!W19)/Datos!W19),(Datos!M19-Datos!W19)/Datos!W19," - ")</f>
        <v>0.30743243243243246</v>
      </c>
      <c r="G19" s="804">
        <f>IF(ISNUMBER((Datos!N19-Datos!X19)/Datos!X19),(Datos!N19-Datos!X19)/Datos!X19," - ")</f>
        <v>-3.0569105691056912E-2</v>
      </c>
      <c r="H19" s="805">
        <f>IF(ISNUMBER((Tasas!B19-Datos!BD19)/Datos!BD19),(Tasas!B19-Datos!BD19)/Datos!BD19," - ")</f>
        <v>-4.870133495680664E-2</v>
      </c>
      <c r="I19" s="806">
        <f>IF(ISNUMBER((Tasas!C19-Datos!BE19)/Datos!BE19),(Tasas!C19-Datos!BE19)/Datos!BE19," - ")</f>
        <v>0.11731077482711473</v>
      </c>
      <c r="J19" s="807">
        <f>IF(ISNUMBER((Tasas!D19-Datos!BF19)/Datos!BF19),(Tasas!D19-Datos!BF19)/Datos!BF19," - ")</f>
        <v>-0.59957104456317878</v>
      </c>
      <c r="K19" s="807">
        <f>IF(ISNUMBER((Tasas!E19-Datos!BG19)/Datos!BG19),(Tasas!E19-Datos!BG19)/Datos!BG19," - ")</f>
        <v>9.0525530260629636E-2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LelmleK/05zkRk/tPr9hOEl+usv9UOE2rrQPYNDNAOvetxN+nuDOkHZF39f+JMk1+PE/v3eQ06YDNBft6ulaDQ==" saltValue="keQM3XzNRWCZlekyjwc3X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TORREJON DE ARDOZ</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0.79098110907982933</v>
      </c>
      <c r="C9" s="443">
        <f>IF(ISNUMBER(NºAsuntos!I9/NºAsuntos!G9),NºAsuntos!I9/NºAsuntos!G9," - ")</f>
        <v>3.6914483821263482</v>
      </c>
      <c r="D9" s="444">
        <f>IF(ISNUMBER('Resol  Asuntos'!D9/NºAsuntos!G9),'Resol  Asuntos'!D9/NºAsuntos!G9," - ")</f>
        <v>0.20338983050847459</v>
      </c>
      <c r="E9" s="445">
        <f>IF(ISNUMBER((NºAsuntos!C9+NºAsuntos!E9)/NºAsuntos!G9),(NºAsuntos!C9+NºAsuntos!E9)/NºAsuntos!G9," - ")</f>
        <v>4.6926040061633278</v>
      </c>
      <c r="G9" s="463"/>
    </row>
    <row r="10" spans="1:7">
      <c r="A10" s="402" t="str">
        <f>Datos!A10</f>
        <v>Jdos. Violencia contra la mujer</v>
      </c>
      <c r="B10" s="442">
        <f>IF(ISNUMBER(NºAsuntos!G10/NºAsuntos!E10),NºAsuntos!G10/NºAsuntos!E10," - ")</f>
        <v>1.0606060606060606</v>
      </c>
      <c r="C10" s="443">
        <f>IF(ISNUMBER(NºAsuntos!I10/NºAsuntos!G10),NºAsuntos!I10/NºAsuntos!G10," - ")</f>
        <v>3.7428571428571429</v>
      </c>
      <c r="D10" s="444">
        <f>IF(ISNUMBER('Resol  Asuntos'!D10/NºAsuntos!G10),'Resol  Asuntos'!D10/NºAsuntos!G10," - ")</f>
        <v>0.4</v>
      </c>
      <c r="E10" s="445">
        <f>IF(ISNUMBER((NºAsuntos!C10+NºAsuntos!E10)/NºAsuntos!G10),(NºAsuntos!C10+NºAsuntos!E10)/NºAsuntos!G10," - ")</f>
        <v>4.7428571428571429</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0.79366515837104068</v>
      </c>
      <c r="C13" s="859">
        <f>IF(ISNUMBER(NºAsuntos!I13/NºAsuntos!G13),NºAsuntos!I13/NºAsuntos!G13," - ")</f>
        <v>3.692132269099202</v>
      </c>
      <c r="D13" s="860">
        <f>IF(ISNUMBER('Resol  Asuntos'!D13/NºAsuntos!G13),'Resol  Asuntos'!D13/NºAsuntos!G13," - ")</f>
        <v>0.20600532117065753</v>
      </c>
      <c r="E13" s="861">
        <f>IF(ISNUMBER((NºAsuntos!C13+NºAsuntos!E13)/NºAsuntos!G13),(NºAsuntos!C13+NºAsuntos!E13)/NºAsuntos!G13," - ")</f>
        <v>4.6932725199543901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1.0230460921843687</v>
      </c>
      <c r="C15" s="443">
        <f>IF(ISNUMBER(NºAsuntos!I15/NºAsuntos!G15),NºAsuntos!I15/NºAsuntos!G15," - ")</f>
        <v>0.73849167482859945</v>
      </c>
      <c r="D15" s="444">
        <f>IF(ISNUMBER('Resol  Asuntos'!D15/NºAsuntos!G15),'Resol  Asuntos'!D15/NºAsuntos!G15," - ")</f>
        <v>0.10479921645445642</v>
      </c>
      <c r="E15" s="445">
        <f>IF(ISNUMBER((NºAsuntos!C15+NºAsuntos!E15)/NºAsuntos!G15),(NºAsuntos!C15+NºAsuntos!E15)/NºAsuntos!G15," - ")</f>
        <v>1.7007835455435847</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1.1258741258741258</v>
      </c>
      <c r="C17" s="443">
        <f>IF(ISNUMBER(NºAsuntos!I17/NºAsuntos!G17),NºAsuntos!I17/NºAsuntos!G17," - ")</f>
        <v>0.63975155279503104</v>
      </c>
      <c r="D17" s="444">
        <f>IF(ISNUMBER('Resol  Asuntos'!D17/NºAsuntos!G17),'Resol  Asuntos'!D17/NºAsuntos!G17," - ")</f>
        <v>5.5900621118012424E-2</v>
      </c>
      <c r="E17" s="445">
        <f>IF(ISNUMBER((NºAsuntos!C17+NºAsuntos!E17)/NºAsuntos!G17),(NºAsuntos!C17+NºAsuntos!E17)/NºAsuntos!G17," - ")</f>
        <v>1.639751552795031</v>
      </c>
      <c r="G17" s="463"/>
    </row>
    <row r="18" spans="1:7" ht="14.25" thickTop="1" thickBot="1">
      <c r="A18" s="848" t="str">
        <f>Datos!A18</f>
        <v>TOTAL</v>
      </c>
      <c r="B18" s="858">
        <f>IF(ISNUMBER(NºAsuntos!G18/NºAsuntos!E18),NºAsuntos!G18/NºAsuntos!E18," - ")</f>
        <v>1.0359333917616127</v>
      </c>
      <c r="C18" s="859">
        <f>IF(ISNUMBER(NºAsuntos!I18/NºAsuntos!G18),NºAsuntos!I18/NºAsuntos!G18," - ")</f>
        <v>0.72842639593908631</v>
      </c>
      <c r="D18" s="862">
        <f>IF(ISNUMBER('Resol  Asuntos'!D18/NºAsuntos!G18),'Resol  Asuntos'!D18/NºAsuntos!G18," - ")</f>
        <v>9.8138747884940772E-2</v>
      </c>
      <c r="E18" s="861">
        <f>IF(ISNUMBER((NºAsuntos!C18+NºAsuntos!E18)/NºAsuntos!G18),(NºAsuntos!C18+NºAsuntos!E18)/NºAsuntos!G18," - ")</f>
        <v>1.6958544839255498</v>
      </c>
      <c r="G18" s="463"/>
    </row>
    <row r="19" spans="1:7" ht="15.75" customHeight="1" thickTop="1" thickBot="1">
      <c r="A19" s="793" t="str">
        <f>Datos!A19</f>
        <v>TOTAL JURISDICCIONES</v>
      </c>
      <c r="B19" s="808">
        <f>IF(ISNUMBER(NºAsuntos!G19/NºAsuntos!E19),NºAsuntos!G19/NºAsuntos!E19," - ")</f>
        <v>0.89244237984634622</v>
      </c>
      <c r="C19" s="809">
        <f>IF(ISNUMBER(NºAsuntos!I19/NºAsuntos!G19),NºAsuntos!I19/NºAsuntos!G19," - ")</f>
        <v>2.2894894894894895</v>
      </c>
      <c r="D19" s="810">
        <f>IF(ISNUMBER('Resol  Asuntos'!D19/NºAsuntos!G19),'Resol  Asuntos'!D19/NºAsuntos!G19," - ")</f>
        <v>0.15495495495495495</v>
      </c>
      <c r="E19" s="811">
        <f>IF(ISNUMBER((NºAsuntos!C19+NºAsuntos!E19)/NºAsuntos!G19),(NºAsuntos!C19+NºAsuntos!E19)/NºAsuntos!G19," - ")</f>
        <v>3.2746746746746749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Pewbn7K8Zq7dAgiwQdVqRlL8ioNp5WdYR9zc6u/EbTKEBl3H9sSBn3UCn45Ia+Jmt2CDQ3OR97c5+ZbD9IHVkQ==" saltValue="oyzp9rspIY5MEywaPKKRN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TORREJON DE ARDOZ</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579</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830</v>
      </c>
      <c r="AX5" s="1245" t="s">
        <v>321</v>
      </c>
      <c r="AY5" s="1245" t="s">
        <v>744</v>
      </c>
      <c r="AZ5" s="1245" t="s">
        <v>745</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501</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346</v>
      </c>
      <c r="Y9" s="334">
        <f>SUM(W9:X9)</f>
        <v>346</v>
      </c>
      <c r="Z9" s="335" t="str">
        <f>IF(ISNUMBER(Datos!CC9),Datos!CC9," - ")</f>
        <v xml:space="preserve"> - </v>
      </c>
      <c r="AA9" s="332" t="str">
        <f>IF(ISNUMBER(IF(J_V="SI",Datos!L9,Datos!L9+Datos!AB9)-IF(Monitorios="SI",Datos!CD9,0)),
                          IF(J_V="SI",Datos!L9,Datos!L9+Datos!AB9)-IF(Monitorios="SI",Datos!CD9,0),
                          " - ")</f>
        <v xml:space="preserve"> - </v>
      </c>
      <c r="AB9" s="334">
        <f>IF(ISNUMBER(Datos!R9),Datos!R9," - ")</f>
        <v>8609</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528</v>
      </c>
      <c r="AJ9" s="229" t="str">
        <f>IF(ISNUMBER(Datos!BW9),Datos!BW9," - ")</f>
        <v xml:space="preserve"> - </v>
      </c>
      <c r="AK9" s="228" t="str">
        <f>IF(ISNUMBER(Datos!BX9),Datos!BX9," - ")</f>
        <v xml:space="preserve"> - </v>
      </c>
      <c r="AL9" s="243">
        <f>IF(ISNUMBER(NºAsuntos!G9/NºAsuntos!E9),NºAsuntos!G9/NºAsuntos!E9," - ")</f>
        <v>0.79098110907982933</v>
      </c>
      <c r="AM9" s="260">
        <f>IF(ISNUMBER(((NºAsuntos!I9/NºAsuntos!G9)*11)/factor_trimestre),((NºAsuntos!I9/NºAsuntos!G9)*11)/factor_trimestre," - ")</f>
        <v>7.3828967642526955</v>
      </c>
      <c r="AN9" s="244">
        <f>IF(ISNUMBER('Resol  Asuntos'!D9/NºAsuntos!G9),'Resol  Asuntos'!D9/NºAsuntos!G9," - ")</f>
        <v>0.20338983050847459</v>
      </c>
      <c r="AO9" s="245">
        <f>IF(ISNUMBER((NºAsuntos!C9+NºAsuntos!E9)/NºAsuntos!G9),(NºAsuntos!C9+NºAsuntos!E9)/NºAsuntos!G9," - ")</f>
        <v>4.6926040061633278</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133</v>
      </c>
      <c r="G10" s="333">
        <f>IF(ISNUMBER(Datos!I10),Datos!I10," - ")</f>
        <v>133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8</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35</v>
      </c>
      <c r="X10" s="226">
        <f>IF(ISNUMBER(Datos!Q10),Datos!Q10," - ")</f>
        <v>4</v>
      </c>
      <c r="Y10" s="334">
        <f t="shared" ref="Y10:Y12" si="0">SUM(W10:X10)</f>
        <v>39</v>
      </c>
      <c r="Z10" s="335" t="str">
        <f>IF(ISNUMBER(Datos!CC10),Datos!CC10," - ")</f>
        <v xml:space="preserve"> - </v>
      </c>
      <c r="AA10" s="332">
        <f>IF(ISNUMBER(Datos!L10),Datos!L10,"-")</f>
        <v>131</v>
      </c>
      <c r="AB10" s="334">
        <f>IF(ISNUMBER(Datos!R10),Datos!R10," - ")</f>
        <v>76</v>
      </c>
      <c r="AC10" s="334">
        <f t="shared" ref="AC10:AC12" si="1">IF(ISNUMBER(AA10+AB10),AA10+AB10," - ")</f>
        <v>207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14</v>
      </c>
      <c r="AJ10" s="231" t="str">
        <f>IF(ISNUMBER(Datos!BW10),Datos!BW10," - ")</f>
        <v xml:space="preserve"> - </v>
      </c>
      <c r="AK10" s="232" t="str">
        <f>IF(ISNUMBER(Datos!BX10),Datos!BX10," - ")</f>
        <v xml:space="preserve"> - </v>
      </c>
      <c r="AL10" s="243">
        <f>IF(ISNUMBER(NºAsuntos!G10/NºAsuntos!E10),NºAsuntos!G10/NºAsuntos!E10," - ")</f>
        <v>1.0606060606060606</v>
      </c>
      <c r="AM10" s="260">
        <f>IF(ISNUMBER(((NºAsuntos!I10/NºAsuntos!G10)*11)/factor_trimestre),((NºAsuntos!I10/NºAsuntos!G10)*11)/factor_trimestre," - ")</f>
        <v>7.4857142857142858</v>
      </c>
      <c r="AN10" s="244">
        <f>IF(ISNUMBER('Resol  Asuntos'!D10/NºAsuntos!G10),'Resol  Asuntos'!D10/NºAsuntos!G10," - ")</f>
        <v>0.4</v>
      </c>
      <c r="AO10" s="245">
        <f>IF(ISNUMBER((NºAsuntos!C10+NºAsuntos!E10)/NºAsuntos!G10),(NºAsuntos!C10+NºAsuntos!E10)/NºAsuntos!G10," - ")</f>
        <v>4.7428571428571429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133</v>
      </c>
      <c r="G13" s="866">
        <f t="shared" si="3"/>
        <v>133</v>
      </c>
      <c r="H13" s="865">
        <f t="shared" si="3"/>
        <v>0</v>
      </c>
      <c r="I13" s="867">
        <f t="shared" si="3"/>
        <v>0</v>
      </c>
      <c r="J13" s="867">
        <f t="shared" si="3"/>
        <v>0</v>
      </c>
      <c r="K13" s="867">
        <f t="shared" si="3"/>
        <v>0</v>
      </c>
      <c r="L13" s="867">
        <f t="shared" si="3"/>
        <v>509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35</v>
      </c>
      <c r="X13" s="867">
        <f t="shared" si="4"/>
        <v>350</v>
      </c>
      <c r="Y13" s="868">
        <f t="shared" si="4"/>
        <v>385</v>
      </c>
      <c r="Z13" s="868">
        <f t="shared" si="4"/>
        <v>0</v>
      </c>
      <c r="AA13" s="868">
        <f t="shared" si="4"/>
        <v>131</v>
      </c>
      <c r="AB13" s="868">
        <f t="shared" si="4"/>
        <v>8685</v>
      </c>
      <c r="AC13" s="868">
        <f t="shared" si="4"/>
        <v>207</v>
      </c>
      <c r="AD13" s="868">
        <f t="shared" si="4"/>
        <v>0</v>
      </c>
      <c r="AE13" s="872">
        <f t="shared" si="4"/>
        <v>0</v>
      </c>
      <c r="AF13" s="865">
        <f t="shared" si="4"/>
        <v>0</v>
      </c>
      <c r="AG13" s="873">
        <f t="shared" si="4"/>
        <v>0</v>
      </c>
      <c r="AH13" s="870">
        <f t="shared" si="4"/>
        <v>0</v>
      </c>
      <c r="AI13" s="865">
        <f t="shared" si="4"/>
        <v>542</v>
      </c>
      <c r="AJ13" s="867">
        <f t="shared" si="4"/>
        <v>0</v>
      </c>
      <c r="AK13" s="870">
        <f>SUBTOTAL(9,AK9:AK12)</f>
        <v>0</v>
      </c>
      <c r="AL13" s="874">
        <f>IF(ISNUMBER(NºAsuntos!G13/NºAsuntos!E13),NºAsuntos!G13/NºAsuntos!E13," - ")</f>
        <v>0.79366515837104068</v>
      </c>
      <c r="AM13" s="874">
        <f>IF(ISNUMBER(((NºAsuntos!I13/NºAsuntos!G13)*11)/factor_trimestre),((NºAsuntos!I13/NºAsuntos!G13)*11)/factor_trimestre," - ")</f>
        <v>7.3842645381984049</v>
      </c>
      <c r="AN13" s="875">
        <f>IF(ISNUMBER('Resol  Asuntos'!D13/NºAsuntos!G13),'Resol  Asuntos'!D13/NºAsuntos!G13," - ")</f>
        <v>0.20600532117065753</v>
      </c>
      <c r="AO13" s="876">
        <f>IF(ISNUMBER((NºAsuntos!C13+NºAsuntos!E13)/NºAsuntos!G13),(NºAsuntos!C13+NºAsuntos!E13)/NºAsuntos!G13," - ")</f>
        <v>4.6932725199543901</v>
      </c>
      <c r="AP13" s="877" t="str">
        <f t="shared" si="2"/>
        <v xml:space="preserve"> - </v>
      </c>
      <c r="AQ13" s="877">
        <f>IF(ISNUMBER((H13-W13+K13)/(F13)),(H13-W13+K13)/(F13)," - ")</f>
        <v>-0.26315789473684209</v>
      </c>
      <c r="AR13" s="878">
        <f>IF(ISNUMBER((Datos!P13-Datos!Q13)/(Datos!R13-Datos!P13+Datos!Q13)),(Datos!P13-Datos!Q13)/(Datos!R13-Datos!P13+Datos!Q13)," - ")</f>
        <v>1.864883884588318E-2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1554</v>
      </c>
      <c r="G15" s="333">
        <f>IF(ISNUMBER(IF(D_I="SI",Datos!I15,Datos!I15+Datos!AC15)),IF(D_I="SI",Datos!I15,Datos!I15+Datos!AC15)," - ")</f>
        <v>1477</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54</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2042</v>
      </c>
      <c r="X15" s="226">
        <f>IF(ISNUMBER(Datos!Q15),Datos!Q15," - ")</f>
        <v>93</v>
      </c>
      <c r="Y15" s="334">
        <f>SUM(W15)</f>
        <v>2042</v>
      </c>
      <c r="Z15" s="335" t="str">
        <f>IF(ISNUMBER(Datos!CC15),Datos!CC15," - ")</f>
        <v xml:space="preserve"> - </v>
      </c>
      <c r="AA15" s="332">
        <f>IF(ISNUMBER(IF(D_I="SI",Datos!L15,Datos!L15+Datos!AF15)),IF(D_I="SI",Datos!L15,Datos!L15+Datos!AF15)," - ")</f>
        <v>1508</v>
      </c>
      <c r="AB15" s="334">
        <f>IF(ISNUMBER(Datos!R15),Datos!R15," - ")</f>
        <v>249</v>
      </c>
      <c r="AC15" s="334">
        <f t="shared" ref="AC15:AC17" si="6">IF(ISNUMBER(AA15+AB15),AA15+AB15," - ")</f>
        <v>1757</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214</v>
      </c>
      <c r="AJ15" s="231" t="str">
        <f>IF(ISNUMBER(Datos!BW15),Datos!BW15," - ")</f>
        <v xml:space="preserve"> - </v>
      </c>
      <c r="AK15" s="232" t="str">
        <f>IF(ISNUMBER(Datos!BX15),Datos!BX15," - ")</f>
        <v xml:space="preserve"> - </v>
      </c>
      <c r="AL15" s="243">
        <f>IF(ISNUMBER(NºAsuntos!G15/NºAsuntos!E15),NºAsuntos!G15/NºAsuntos!E15," - ")</f>
        <v>1.0230460921843687</v>
      </c>
      <c r="AM15" s="260">
        <f>IF(ISNUMBER(((NºAsuntos!I15/NºAsuntos!G15)*11)/factor_trimestre),((NºAsuntos!I15/NºAsuntos!G15)*11)/factor_trimestre," - ")</f>
        <v>1.4769833496571989</v>
      </c>
      <c r="AN15" s="244">
        <f>IF(ISNUMBER('Resol  Asuntos'!D15/NºAsuntos!G15),'Resol  Asuntos'!D15/NºAsuntos!G15," - ")</f>
        <v>0.10479921645445642</v>
      </c>
      <c r="AO15" s="245">
        <f>IF(ISNUMBER((NºAsuntos!C15+NºAsuntos!E15)/NºAsuntos!G15),(NºAsuntos!C15+NºAsuntos!E15)/NºAsuntos!G15," - ")</f>
        <v>1.7007835455435847</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f>IF(ISNUMBER(AA16+W16-Datos!J16-K16),AA16+W16-Datos!J16-K16," - ")</f>
        <v>8</v>
      </c>
      <c r="G16" s="333">
        <f>IF(ISNUMBER(IF(D_I="SI",Datos!I16,Datos!I16+Datos!AC16)),IF(D_I="SI",Datos!I16,Datos!I16+Datos!AC16)," - ")</f>
        <v>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0</v>
      </c>
      <c r="X16" s="226">
        <f>IF(ISNUMBER(Datos!Q16),Datos!Q16," - ")</f>
        <v>0</v>
      </c>
      <c r="Y16" s="334">
        <f t="shared" ref="Y16:Y17" si="7">SUM(W16:X16)</f>
        <v>0</v>
      </c>
      <c r="Z16" s="335" t="str">
        <f>IF(ISNUMBER(Datos!CC16),Datos!CC16," - ")</f>
        <v xml:space="preserve"> - </v>
      </c>
      <c r="AA16" s="332">
        <f>IF(ISNUMBER(IF(D_I="SI",Datos!L16,Datos!L16+Datos!AF16)),IF(D_I="SI",Datos!L16,Datos!L16+Datos!AF16)," - ")</f>
        <v>8</v>
      </c>
      <c r="AB16" s="334">
        <f>IF(ISNUMBER(Datos!R16),Datos!R16," - ")</f>
        <v>0</v>
      </c>
      <c r="AC16" s="334">
        <f t="shared" si="6"/>
        <v>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0</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242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322</v>
      </c>
      <c r="X17" s="226">
        <f>IF(ISNUMBER(Datos!Q17),Datos!Q17," - ")</f>
        <v>0</v>
      </c>
      <c r="Y17" s="334">
        <f t="shared" si="7"/>
        <v>322</v>
      </c>
      <c r="Z17" s="335" t="str">
        <f>IF(ISNUMBER(Datos!CC17),Datos!CC17," - ")</f>
        <v xml:space="preserve"> - </v>
      </c>
      <c r="AA17" s="332">
        <f>IF(ISNUMBER(Datos!L17),Datos!L17,"-")</f>
        <v>206</v>
      </c>
      <c r="AB17" s="334">
        <f>IF(ISNUMBER(Datos!R17),Datos!R17," - ")</f>
        <v>9</v>
      </c>
      <c r="AC17" s="334">
        <f t="shared" si="6"/>
        <v>215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18</v>
      </c>
      <c r="AJ17" s="231" t="str">
        <f>IF(ISNUMBER(Datos!BW17),Datos!BW17," - ")</f>
        <v xml:space="preserve"> - </v>
      </c>
      <c r="AK17" s="232" t="str">
        <f>IF(ISNUMBER(Datos!BX17),Datos!BX17," - ")</f>
        <v xml:space="preserve"> - </v>
      </c>
      <c r="AL17" s="243">
        <f>IF(ISNUMBER(NºAsuntos!G17/NºAsuntos!E17),NºAsuntos!G17/NºAsuntos!E17," - ")</f>
        <v>1.1258741258741258</v>
      </c>
      <c r="AM17" s="260">
        <f>IF(ISNUMBER(((NºAsuntos!I17/NºAsuntos!G17)*11)/factor_trimestre),((NºAsuntos!I17/NºAsuntos!G17)*11)/factor_trimestre," - ")</f>
        <v>1.2795031055900621</v>
      </c>
      <c r="AN17" s="244">
        <f>IF(ISNUMBER('Resol  Asuntos'!D17/NºAsuntos!G17),'Resol  Asuntos'!D17/NºAsuntos!G17," - ")</f>
        <v>5.5900621118012424E-2</v>
      </c>
      <c r="AO17" s="245">
        <f>IF(ISNUMBER((NºAsuntos!C17+NºAsuntos!E17)/NºAsuntos!G17),(NºAsuntos!C17+NºAsuntos!E17)/NºAsuntos!G17," - ")</f>
        <v>1.639751552795031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1562</v>
      </c>
      <c r="G18" s="866">
        <f>SUBTOTAL(9,G15:G17)</f>
        <v>1727</v>
      </c>
      <c r="H18" s="865">
        <f t="shared" ref="H18:O18" si="10">SUBTOTAL(9,H14:H17)</f>
        <v>0</v>
      </c>
      <c r="I18" s="867">
        <f t="shared" si="10"/>
        <v>0</v>
      </c>
      <c r="J18" s="867">
        <f t="shared" si="10"/>
        <v>0</v>
      </c>
      <c r="K18" s="867">
        <f t="shared" si="10"/>
        <v>0</v>
      </c>
      <c r="L18" s="867">
        <f t="shared" si="10"/>
        <v>55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2364</v>
      </c>
      <c r="X18" s="867">
        <f t="shared" si="11"/>
        <v>93</v>
      </c>
      <c r="Y18" s="868">
        <f t="shared" si="11"/>
        <v>2364</v>
      </c>
      <c r="Z18" s="868">
        <f t="shared" si="11"/>
        <v>0</v>
      </c>
      <c r="AA18" s="868">
        <f t="shared" si="11"/>
        <v>1722</v>
      </c>
      <c r="AB18" s="868">
        <f t="shared" si="11"/>
        <v>258</v>
      </c>
      <c r="AC18" s="868">
        <f t="shared" si="11"/>
        <v>1980</v>
      </c>
      <c r="AD18" s="868">
        <f t="shared" si="11"/>
        <v>0</v>
      </c>
      <c r="AE18" s="872">
        <f t="shared" si="11"/>
        <v>0</v>
      </c>
      <c r="AF18" s="865">
        <f t="shared" si="11"/>
        <v>0</v>
      </c>
      <c r="AG18" s="873">
        <f t="shared" si="11"/>
        <v>0</v>
      </c>
      <c r="AH18" s="870">
        <f t="shared" si="11"/>
        <v>0</v>
      </c>
      <c r="AI18" s="865">
        <f t="shared" si="11"/>
        <v>232</v>
      </c>
      <c r="AJ18" s="867">
        <f t="shared" si="11"/>
        <v>0</v>
      </c>
      <c r="AK18" s="870">
        <f t="shared" si="11"/>
        <v>0</v>
      </c>
      <c r="AL18" s="874">
        <f>IF(ISNUMBER(NºAsuntos!G18/NºAsuntos!E18),NºAsuntos!G18/NºAsuntos!E18," - ")</f>
        <v>1.0359333917616127</v>
      </c>
      <c r="AM18" s="874">
        <f>IF(ISNUMBER(((NºAsuntos!I18/NºAsuntos!G18)*11)/factor_trimestre),((NºAsuntos!I18/NºAsuntos!G18)*11)/factor_trimestre," - ")</f>
        <v>1.4568527918781726</v>
      </c>
      <c r="AN18" s="875">
        <f>IF(ISNUMBER('Resol  Asuntos'!D18/NºAsuntos!G18),'Resol  Asuntos'!D18/NºAsuntos!G18," - ")</f>
        <v>9.8138747884940772E-2</v>
      </c>
      <c r="AO18" s="876">
        <f>IF(ISNUMBER((NºAsuntos!C18+NºAsuntos!E18)/NºAsuntos!G18),(NºAsuntos!C18+NºAsuntos!E18)/NºAsuntos!G18," - ")</f>
        <v>1.6958544839255498</v>
      </c>
      <c r="AP18" s="877" t="str">
        <f t="shared" si="2"/>
        <v xml:space="preserve"> - </v>
      </c>
      <c r="AQ18" s="877">
        <f>IF(ISNUMBER((H18-W18+K18)/(F18)),(H18-W18+K18)/(F18)," - ")</f>
        <v>-1.5134443021766966</v>
      </c>
      <c r="AR18" s="878">
        <f>IF(ISNUMBER((Datos!P18-Datos!Q18)/(Datos!R18-Datos!P18+Datos!Q18)),(Datos!P18-Datos!Q18)/(Datos!R18-Datos!P18+Datos!Q18)," - ")</f>
        <v>-0.12837837837837837</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1695</v>
      </c>
      <c r="G19" s="821">
        <f t="shared" si="13"/>
        <v>1860</v>
      </c>
      <c r="H19" s="820">
        <f t="shared" si="13"/>
        <v>0</v>
      </c>
      <c r="I19" s="822">
        <f t="shared" si="13"/>
        <v>0</v>
      </c>
      <c r="J19" s="822">
        <f t="shared" si="13"/>
        <v>0</v>
      </c>
      <c r="K19" s="881">
        <f t="shared" si="13"/>
        <v>0</v>
      </c>
      <c r="L19" s="822">
        <f t="shared" si="13"/>
        <v>564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2399</v>
      </c>
      <c r="X19" s="821">
        <f t="shared" si="14"/>
        <v>443</v>
      </c>
      <c r="Y19" s="828">
        <f t="shared" si="14"/>
        <v>2749</v>
      </c>
      <c r="Z19" s="828">
        <f t="shared" si="14"/>
        <v>0</v>
      </c>
      <c r="AA19" s="828">
        <f t="shared" si="14"/>
        <v>1853</v>
      </c>
      <c r="AB19" s="828">
        <f t="shared" si="14"/>
        <v>8943</v>
      </c>
      <c r="AC19" s="828">
        <f t="shared" si="14"/>
        <v>2187</v>
      </c>
      <c r="AD19" s="828">
        <f t="shared" si="14"/>
        <v>0</v>
      </c>
      <c r="AE19" s="830">
        <f t="shared" si="14"/>
        <v>0</v>
      </c>
      <c r="AF19" s="831">
        <f t="shared" si="14"/>
        <v>0</v>
      </c>
      <c r="AG19" s="832">
        <f t="shared" si="14"/>
        <v>0</v>
      </c>
      <c r="AH19" s="830">
        <f t="shared" si="14"/>
        <v>0</v>
      </c>
      <c r="AI19" s="820">
        <f t="shared" si="14"/>
        <v>774</v>
      </c>
      <c r="AJ19" s="820">
        <f t="shared" si="14"/>
        <v>0</v>
      </c>
      <c r="AK19" s="830">
        <f t="shared" si="14"/>
        <v>0</v>
      </c>
      <c r="AL19" s="884">
        <f>IF(ISNUMBER(NºAsuntos!G19/NºAsuntos!E19),NºAsuntos!G19/NºAsuntos!E19," - ")</f>
        <v>0.89244237984634622</v>
      </c>
      <c r="AM19" s="885">
        <f>IF(ISNUMBER(((NºAsuntos!I19/NºAsuntos!G19)*11)/factor_trimestre),((NºAsuntos!I19/NºAsuntos!G19)*11)/factor_trimestre," - ")</f>
        <v>4.578978978978979</v>
      </c>
      <c r="AN19" s="885">
        <f>IF(ISNUMBER('Resol  Asuntos'!D19/NºAsuntos!G19),'Resol  Asuntos'!D19/NºAsuntos!G19," - ")</f>
        <v>0.15495495495495495</v>
      </c>
      <c r="AO19" s="886">
        <f>IF(ISNUMBER((NºAsuntos!C19+NºAsuntos!E19)/NºAsuntos!G19),(NºAsuntos!C19+NºAsuntos!E19)/NºAsuntos!G19," - ")</f>
        <v>3.2746746746746749</v>
      </c>
      <c r="AP19" s="887" t="str">
        <f t="shared" si="2"/>
        <v xml:space="preserve"> - </v>
      </c>
      <c r="AQ19" s="888">
        <f>IF(OR(ISNUMBER(FIND("01",Criterios!A8,1)),ISNUMBER(FIND("02",Criterios!A8,1)),ISNUMBER(FIND("03",Criterios!A8,1)),ISNUMBER(FIND("04",Criterios!A8,1))),(I19-W19+K19)/(F19-K19),(H19-W19+K19)/(F19-K19))</f>
        <v>-1.4153392330383481</v>
      </c>
      <c r="AR19" s="889">
        <f>IF(ISNUMBER((Datos!P19-Datos!Q19)/(Datos!R19-Datos!P19+Datos!Q19)),(Datos!P19-Datos!Q19)/(Datos!R19-Datos!P19+Datos!Q19)," - ")</f>
        <v>1.3715710723192019E-2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620</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2.8284271247461903</v>
      </c>
      <c r="F21" s="252">
        <f>IF(ISNUMBER(STDEV(F8:F18)),STDEV(F8:F18),"-")</f>
        <v>804.95061960346368</v>
      </c>
      <c r="G21" s="253">
        <f>IF(ISNUMBER(STDEV(G8:G18)),STDEV(G8:G18),"-")</f>
        <v>768.33117859423101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1097.9611407817067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234.64826767698398</v>
      </c>
      <c r="AJ21" s="252">
        <f t="shared" si="18"/>
        <v>0</v>
      </c>
      <c r="AK21" s="254">
        <f t="shared" si="18"/>
        <v>0</v>
      </c>
      <c r="AL21" s="249">
        <f t="shared" si="18"/>
        <v>0.14338202076689804</v>
      </c>
      <c r="AM21" s="250">
        <f t="shared" si="18"/>
        <v>3.2944818273594643</v>
      </c>
      <c r="AN21" s="250">
        <f t="shared" si="18"/>
        <v>0.12438437604944304</v>
      </c>
      <c r="AO21" s="251">
        <f t="shared" si="18"/>
        <v>1.6602658761721847</v>
      </c>
      <c r="AP21" s="291" t="str">
        <f t="shared" si="18"/>
        <v>-</v>
      </c>
      <c r="AQ21" s="292">
        <f t="shared" si="18"/>
        <v>0.88408599712608782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Zhxo2mq+YnLf3t+py8/kt6V0376DjUaFYgp2MXzJudsHGSxu8msZBTa6uphqSH2gQHkOQ0p/ikm4ZqfCOxXZ/g==" saltValue="w/AmGiL78JrXd1pGhe6jL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TORREJON DE ARDOZ</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0.6</v>
      </c>
      <c r="I9" s="350">
        <f>IF(ISNUMBER((Tasas!C9-Datos!BE9)/Datos!BE9),(Tasas!C9-Datos!BE9)/Datos!BE9," - ")</f>
        <v>0.14031998400079995</v>
      </c>
      <c r="J9" s="349">
        <f>IF(ISNUMBER((Tasas!D9-Datos!BF9)/Datos!BF9),(Tasas!D9-Datos!BF9)/Datos!BF9," - ")</f>
        <v>-0.67630724846736379</v>
      </c>
      <c r="K9" s="351">
        <f>IF(ISNUMBER((Tasas!E9-Datos!BG9)/Datos!BG9),(Tasas!E9-Datos!BG9)/Datos!BG9," - ")</f>
        <v>0.11826299728159413</v>
      </c>
      <c r="M9" t="e">
        <f>IF(Monitorios="SI",Datos!CE9,0)</f>
        <v>#REF!</v>
      </c>
      <c r="N9" t="e">
        <f>IF(Monitorios="SI",Datos!CF9,0)</f>
        <v>#REF!</v>
      </c>
      <c r="O9" t="e">
        <f>IF(Monitorios="SI",Datos!CG9,0)</f>
        <v>#REF!</v>
      </c>
      <c r="P9" t="e">
        <f>IF(Monitorios="SI",Datos!CH9,0)</f>
        <v>#REF!</v>
      </c>
      <c r="Q9">
        <f>IF(J_V="SI",0,Datos!AG9)</f>
        <v>258</v>
      </c>
      <c r="R9">
        <f>IF(J_V="SI",0,Datos!AH9)</f>
        <v>241</v>
      </c>
      <c r="S9">
        <f>IF(J_V="SI",0,Datos!AI9)</f>
        <v>279</v>
      </c>
      <c r="T9">
        <f>IF(J_V="SI",0,Datos!AJ9)</f>
        <v>220</v>
      </c>
    </row>
    <row r="10" spans="2:20" ht="14.25">
      <c r="B10" s="275" t="s">
        <v>246</v>
      </c>
      <c r="C10" s="7" t="str">
        <f>Datos!A10</f>
        <v>Jdos. Violencia contra la mujer</v>
      </c>
      <c r="D10" s="352">
        <f>IF(ISNUMBER((Datos!I10-Datos!S10)/Datos!S10),(Datos!I10-Datos!S10)/Datos!S10," - ")</f>
        <v>9.0163934426229511E-2</v>
      </c>
      <c r="E10" s="348">
        <f>IF(ISNUMBER((Datos!J10-Datos!T10)/Datos!T10),(Datos!J10-Datos!T10)/Datos!T10," - ")</f>
        <v>6.4516129032258063E-2</v>
      </c>
      <c r="F10" s="348">
        <f>IF(ISNUMBER((Datos!K10-Datos!U10)/Datos!U10),(Datos!K10-Datos!U10)/Datos!U10," - ")</f>
        <v>0.12903225806451613</v>
      </c>
      <c r="G10" s="349">
        <f>IF(ISNUMBER((Datos!L10-Datos!V10)/Datos!V10),(Datos!L10-Datos!V10)/Datos!V10," - ")</f>
        <v>7.3770491803278687E-2</v>
      </c>
      <c r="H10" s="230">
        <f>IF(ISNUMBER((Datos!M10-Datos!W10)/Datos!W10),(Datos!M10-Datos!W10)/Datos!W10," - ")</f>
        <v>1</v>
      </c>
      <c r="I10" s="350">
        <f>IF(ISNUMBER((Tasas!C10-Datos!BE10)/Datos!BE10),(Tasas!C10-Datos!BE10)/Datos!BE10," - ")</f>
        <v>-4.8946135831381743E-2</v>
      </c>
      <c r="J10" s="349">
        <f>IF(ISNUMBER((Tasas!D10-Datos!BF10)/Datos!BF10),(Tasas!D10-Datos!BF10)/Datos!BF10," - ")</f>
        <v>0.77142857142857157</v>
      </c>
      <c r="K10" s="351">
        <f>IF(ISNUMBER((Tasas!E10-Datos!BG10)/Datos!BG10),(Tasas!E10-Datos!BG10)/Datos!BG10," - ")</f>
        <v>-3.902894491129786E-2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0.60830860534124631</v>
      </c>
      <c r="I13" s="357">
        <f>IF(ISNUMBER((Tasas!C13-Datos!BE13)/Datos!BE13),(Tasas!C13-Datos!BE13)/Datos!BE13," - ")</f>
        <v>0.13765946037498972</v>
      </c>
      <c r="J13" s="355">
        <f>IF(ISNUMBER((Tasas!D13-Datos!BF13)/Datos!BF13),(Tasas!D13-Datos!BF13)/Datos!BF13," - ")</f>
        <v>-0.66966822289281369</v>
      </c>
      <c r="K13" s="358">
        <f>IF(ISNUMBER((Tasas!E13-Datos!BG13)/Datos!BG13),(Tasas!E13-Datos!BG13)/Datos!BG13," - ")</f>
        <v>0.11612163617552551</v>
      </c>
      <c r="M13" t="e">
        <f>IF(Monitorios="SI",Datos!CE13,0)</f>
        <v>#REF!</v>
      </c>
      <c r="N13" t="e">
        <f>IF(Monitorios="SI",Datos!CF13,0)</f>
        <v>#REF!</v>
      </c>
      <c r="O13" t="e">
        <f>IF(Monitorios="SI",Datos!CG13,0)</f>
        <v>#REF!</v>
      </c>
      <c r="P13" t="e">
        <f>IF(Monitorios="SI",Datos!CH13,0)</f>
        <v>#REF!</v>
      </c>
      <c r="Q13">
        <f>IF(J_V="SI",0,Datos!AG13)</f>
        <v>258</v>
      </c>
      <c r="R13">
        <f>IF(J_V="SI",0,Datos!AH13)</f>
        <v>241</v>
      </c>
      <c r="S13">
        <f>IF(J_V="SI",0,Datos!AI13)</f>
        <v>279</v>
      </c>
      <c r="T13">
        <f>IF(J_V="SI",0,Datos!AJ13)</f>
        <v>220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0.25488530161427359</v>
      </c>
      <c r="E15" s="348">
        <f>IF(ISNUMBER(
   IF(D_I="SI",(Datos!J15-Datos!T15)/Datos!T15,(Datos!J15+Datos!AD15-(Datos!T15+Datos!AL15))/(Datos!T15+Datos!AL15))
     ),IF(D_I="SI",(Datos!J15-Datos!T15)/Datos!T15,(Datos!J15+Datos!AD15-(Datos!T15+Datos!AL15))/(Datos!T15+Datos!AL15))," - ")</f>
        <v>4.6121593291404611E-2</v>
      </c>
      <c r="F15" s="348">
        <f>IF(ISNUMBER(
   IF(D_I="SI",(Datos!K15-Datos!U15)/Datos!U15,(Datos!K15+Datos!AE15-(Datos!U15+Datos!AM15))/(Datos!U15+Datos!AM15))
     ),IF(D_I="SI",(Datos!K15-Datos!U15)/Datos!U15,(Datos!K15+Datos!AE15-(Datos!U15+Datos!AM15))/(Datos!U15+Datos!AM15))," - ")</f>
        <v>5.7483169342309681E-2</v>
      </c>
      <c r="G15" s="349">
        <f>IF(ISNUMBER(
   IF(D_I="SI",(Datos!L15-Datos!V15)/Datos!V15,(Datos!L15+Datos!AF15-(Datos!V15+Datos!AN15))/(Datos!V15+Datos!AN15))
     ),IF(D_I="SI",(Datos!L15-Datos!V15)/Datos!V15,(Datos!L15+Datos!AF15-(Datos!V15+Datos!AN15))/(Datos!V15+Datos!AN15))," - ")</f>
        <v>0.19398258115597783</v>
      </c>
      <c r="H15" s="230">
        <f>IF(ISNUMBER((Datos!M15-Datos!W15)/Datos!W15),(Datos!M15-Datos!W15)/Datos!W15," - ")</f>
        <v>-7.7586206896551727E-2</v>
      </c>
      <c r="I15" s="350">
        <f>IF(ISNUMBER((Tasas!C15-Datos!BE15)/Datos!BE15),(Tasas!C15-Datos!BE15)/Datos!BE15," - ")</f>
        <v>0.1290795123468135</v>
      </c>
      <c r="J15" s="349">
        <f>IF(ISNUMBER((Tasas!D15-Datos!BF15)/Datos!BF15),(Tasas!D15-Datos!BF15)/Datos!BF15," - ")</f>
        <v>-0.12772721132088219</v>
      </c>
      <c r="K15" s="351">
        <f>IF(ISNUMBER((Tasas!E15-Datos!BG15)/Datos!BG15),(Tasas!E15-Datos!BG15)/Datos!BG15," - ")</f>
        <v>6.4574724941543593E-2</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f>IF(ISNUMBER(
   IF(D_I="SI",(Datos!L16-Datos!V16)/Datos!V16,(Datos!L16+Datos!AF16-(Datos!V16+Datos!AN16))/(Datos!V16+Datos!AN16))
     ),IF(D_I="SI",(Datos!L16-Datos!V16)/Datos!V16,(Datos!L16+Datos!AF16-(Datos!V16+Datos!AN16))/(Datos!V16+Datos!AN16))," - ")</f>
        <v>0</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0.14691943127962084</v>
      </c>
      <c r="E17" s="348">
        <f>IF(ISNUMBER(
   IF(D_I="SI",(Datos!J17-Datos!T17)/Datos!T17,(Datos!J17+Datos!AD17-(Datos!T17+Datos!AL17))/(Datos!T17+Datos!AL17))
     ),IF(D_I="SI",(Datos!J17-Datos!T17)/Datos!T17,(Datos!J17+Datos!AD17-(Datos!T17+Datos!AL17))/(Datos!T17+Datos!AL17))," - ")</f>
        <v>-0.19436619718309858</v>
      </c>
      <c r="F17" s="348">
        <f>IF(ISNUMBER(
   IF(D_I="SI",(Datos!K17-Datos!U17)/Datos!U17,(Datos!K17+Datos!AE17-(Datos!U17+Datos!AM17))/(Datos!U17+Datos!AM17))
     ),IF(D_I="SI",(Datos!K17-Datos!U17)/Datos!U17,(Datos!K17+Datos!AE17-(Datos!U17+Datos!AM17))/(Datos!U17+Datos!AM17))," - ")</f>
        <v>-7.4712643678160925E-2</v>
      </c>
      <c r="G17" s="349">
        <f>IF(ISNUMBER(
   IF(D_I="SI",(Datos!L17-Datos!V17)/Datos!V17,(Datos!L17+Datos!AF17-(Datos!V17+Datos!AN17))/(Datos!V17+Datos!AN17))
     ),IF(D_I="SI",(Datos!L17-Datos!V17)/Datos!V17,(Datos!L17+Datos!AF17-(Datos!V17+Datos!AN17))/(Datos!V17+Datos!AN17))," - ")</f>
        <v>-0.10434782608695652</v>
      </c>
      <c r="H17" s="230">
        <f>IF(ISNUMBER((Datos!M17-Datos!W17)/Datos!W17),(Datos!M17-Datos!W17)/Datos!W17," - ")</f>
        <v>-0.21739130434782608</v>
      </c>
      <c r="I17" s="350">
        <f>IF(ISNUMBER((Tasas!C17-Datos!BE17)/Datos!BE17),(Tasas!C17-Datos!BE17)/Datos!BE17," - ")</f>
        <v>-3.2028085336213936E-2</v>
      </c>
      <c r="J17" s="349">
        <f>IF(ISNUMBER((Tasas!D17-Datos!BF17)/Datos!BF17),(Tasas!D17-Datos!BF17)/Datos!BF17," - ")</f>
        <v>-0.15419929786659467</v>
      </c>
      <c r="K17" s="351">
        <f>IF(ISNUMBER((Tasas!E17-Datos!BG17)/Datos!BG17),(Tasas!E17-Datos!BG17)/Datos!BG17," - ")</f>
        <v>8.1864670895244133E-3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0.23710601719197708</v>
      </c>
      <c r="E18" s="354">
        <f>IF(ISNUMBER(
   IF(D_I="SI",(Datos!J18-Datos!T18)/Datos!T18,(Datos!J18+Datos!AD18-(Datos!T18+Datos!AL18))/(Datos!T18+Datos!AL18))
     ),IF(D_I="SI",(Datos!J18-Datos!T18)/Datos!T18,(Datos!J18+Datos!AD18-(Datos!T18+Datos!AL18))/(Datos!T18+Datos!AL18))," - ")</f>
        <v>8.395934600088379E-3</v>
      </c>
      <c r="F18" s="354">
        <f>IF(ISNUMBER(
   IF(D_I="SI",(Datos!K18-Datos!U18)/Datos!U18,(Datos!K18+Datos!AE18-(Datos!U18+Datos!AM18))/(Datos!U18+Datos!AM18))
     ),IF(D_I="SI",(Datos!K18-Datos!U18)/Datos!U18,(Datos!K18+Datos!AE18-(Datos!U18+Datos!AM18))/(Datos!U18+Datos!AM18))," - ")</f>
        <v>3.7297060114085123E-2</v>
      </c>
      <c r="G18" s="355">
        <f>IF(ISNUMBER(
   IF(D_I="SI",(Datos!L18-Datos!V18)/Datos!V18,(Datos!L18+Datos!AF18-(Datos!V18+Datos!AN18))/(Datos!V18+Datos!AN18))
     ),IF(D_I="SI",(Datos!L18-Datos!V18)/Datos!V18,(Datos!L18+Datos!AF18-(Datos!V18+Datos!AN18))/(Datos!V18+Datos!AN18))," - ")</f>
        <v>0.14723517654896737</v>
      </c>
      <c r="H18" s="356">
        <f>IF(ISNUMBER((Datos!M18-Datos!W18)/Datos!W18),(Datos!M18-Datos!W18)/Datos!W18," - ")</f>
        <v>-9.0196078431372548E-2</v>
      </c>
      <c r="I18" s="357">
        <f>IF(ISNUMBER((Tasas!C18-Datos!BE18)/Datos!BE18),(Tasas!C18-Datos!BE18)/Datos!BE18," - ")</f>
        <v>0.10598518077626765</v>
      </c>
      <c r="J18" s="355">
        <f>IF(ISNUMBER((Tasas!D18-Datos!BF18)/Datos!BF18),(Tasas!D18-Datos!BF18)/Datos!BF18," - ")</f>
        <v>-0.12290899439301949</v>
      </c>
      <c r="K18" s="358">
        <f>IF(ISNUMBER((Tasas!E18-Datos!BG18)/Datos!BG18),(Tasas!E18-Datos!BG18)/Datos!BG18," - ")</f>
        <v>5.625918799298385E-2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0.12729177579884757</v>
      </c>
      <c r="E19" s="363">
        <f>IF(ISNUMBER(
   IF(J_V="SI",(Datos!J19-Datos!T19)/Datos!T19,(Datos!J19+Datos!Z19-(Datos!T19+Datos!AH19))/(Datos!T19+Datos!AH19))
     ),IF(J_V="SI",(Datos!J19-Datos!T19)/Datos!T19,(Datos!J19+Datos!Z19-(Datos!T19+Datos!AH19))/(Datos!T19+Datos!AH19))," - ")</f>
        <v>6.5486388730249381E-2</v>
      </c>
      <c r="F19" s="363">
        <f>IF(ISNUMBER(
   IF(J_V="SI",(Datos!K19-Datos!U19)/Datos!U19,(Datos!K19+Datos!AA19-(Datos!U19+Datos!AI19))/(Datos!U19+Datos!AI19))
     ),IF(J_V="SI",(Datos!K19-Datos!U19)/Datos!U19,(Datos!K19+Datos!AA19-(Datos!U19+Datos!AI19))/(Datos!U19+Datos!AI19))," - ")</f>
        <v>1.359577922077922E-2</v>
      </c>
      <c r="G19" s="364">
        <f>IF(ISNUMBER(
   IF(J_V="SI",(Datos!L19-Datos!V19)/Datos!V19,(Datos!L19+Datos!AB19-(Datos!V19+Datos!AJ19))/(Datos!V19+Datos!AJ19))
     ),IF(J_V="SI",(Datos!L19-Datos!V19)/Datos!V19,(Datos!L19+Datos!AB19-(Datos!V19+Datos!AJ19))/(Datos!V19+Datos!AJ19))," - ")</f>
        <v>0.13250148544266191</v>
      </c>
      <c r="H19" s="365">
        <f>IF(ISNUMBER((Datos!M19-Datos!W19)/Datos!W19),(Datos!M19-Datos!W19)/Datos!W19," - ")</f>
        <v>0.30743243243243246</v>
      </c>
      <c r="I19" s="362">
        <f>IF(ISNUMBER((Tasas!C19-Datos!BE19)/Datos!BE19),(Tasas!C19-Datos!BE19)/Datos!BE19," - ")</f>
        <v>0.11731077482711473</v>
      </c>
      <c r="J19" s="363">
        <f>IF(ISNUMBER((Tasas!D19-Datos!BF19)/Datos!BF19),(Tasas!D19-Datos!BF19)/Datos!BF19," - ")</f>
        <v>-0.59957104456317878</v>
      </c>
      <c r="K19" s="364">
        <f>IF(ISNUMBER((Tasas!E19-Datos!BG19)/Datos!BG19),(Tasas!E19-Datos!BG19)/Datos!BG19," - ")</f>
        <v>9.0525530260629636E-2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0.10558249808455715</v>
      </c>
      <c r="E21" s="278">
        <f t="shared" si="1"/>
        <v>0.11933076537198511</v>
      </c>
      <c r="F21" s="278">
        <f t="shared" si="1"/>
        <v>8.4397862016591677E-2</v>
      </c>
      <c r="G21" s="279">
        <f t="shared" si="1"/>
        <v>0.11867866145883554</v>
      </c>
      <c r="H21" s="285">
        <f t="shared" si="1"/>
        <v>0.49749031676586086</v>
      </c>
      <c r="I21" s="277">
        <f t="shared" si="1"/>
        <v>8.8138138951643533E-2</v>
      </c>
      <c r="J21" s="278">
        <f t="shared" si="1"/>
        <v>0.52844722853351822</v>
      </c>
      <c r="K21" s="279">
        <f t="shared" si="1"/>
        <v>6.1414981977531286E-2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2SdbmE9B3GchrWC3GK8EpQ36xXUd7J2eRgNjEoWCwmsWX2oDaFiNEOvfekZ+ZzqurgBO9zTs4n2XnEOuUzRhQ==" saltValue="ypgDomybE4rbB5msf5O5I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819</v>
      </c>
      <c r="T7" s="1145" t="s">
        <v>820</v>
      </c>
      <c r="U7" s="1145" t="s">
        <v>821</v>
      </c>
      <c r="V7" s="1145" t="s">
        <v>822</v>
      </c>
      <c r="W7" s="1091" t="s">
        <v>448</v>
      </c>
      <c r="X7" s="1159" t="s">
        <v>836</v>
      </c>
      <c r="Y7" s="1159" t="s">
        <v>837</v>
      </c>
      <c r="Z7" s="1160" t="s">
        <v>838</v>
      </c>
      <c r="AA7" s="1094" t="s">
        <v>448</v>
      </c>
      <c r="AB7" s="1159" t="s">
        <v>449</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40.605932203389827</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133</v>
      </c>
      <c r="D10" s="225">
        <f>IF(ISNUMBER(Datos!I10),Datos!I10," - ")</f>
        <v>133</v>
      </c>
      <c r="E10" s="226">
        <f>IF(ISNUMBER(Datos!J10),Datos!J10," - ")</f>
        <v>33</v>
      </c>
      <c r="F10" s="226">
        <f>IF(ISNUMBER(Datos!K10),Datos!K10," - ")</f>
        <v>35</v>
      </c>
      <c r="G10" s="1034" t="str">
        <f>IF(Datos!E10&lt;&gt;"",Datos!E10,Datos!D10)</f>
        <v>37</v>
      </c>
      <c r="H10" s="227">
        <f>IF(ISNUMBER(Datos!L10),Datos!L10," - ")</f>
        <v>131</v>
      </c>
      <c r="I10" s="1044" t="str">
        <f>IF(ISNUMBER(Datos!AS10/Datos!BM10),Datos!AS10/Datos!BM10," - ")</f>
        <v xml:space="preserve"> - </v>
      </c>
      <c r="J10" s="1045">
        <f>IF(ISNUMBER(Datos!BY10/Datos!CN10),Datos!BY10/Datos!CN10," - ")</f>
        <v>0</v>
      </c>
      <c r="K10" s="230">
        <f t="shared" ref="K10:K12" si="1">IF(ISNUMBER((E10-F10)/C10),(E10-F10)/C10," - ")</f>
        <v>-1.5037593984962405E-2</v>
      </c>
      <c r="L10" s="1025">
        <f>IF(ISNUMBER(NºAsuntos!I10/NºAsuntos!G10),(NºAsuntos!I10/NºAsuntos!G10)*11," - ")</f>
        <v>41.171428571428571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133</v>
      </c>
      <c r="D13" s="1049">
        <f>SUBTOTAL(9,D9:D12)</f>
        <v>133</v>
      </c>
      <c r="E13" s="1050">
        <f>SUBTOTAL(9,E9:E12)</f>
        <v>33</v>
      </c>
      <c r="F13" s="1051">
        <f>SUBTOTAL(9,F9:F12)</f>
        <v>35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1554</v>
      </c>
      <c r="D15" s="225">
        <f>IF(ISNUMBER(IF(D_I="SI",Datos!I15,Datos!I15+Datos!AC15)),IF(D_I="SI",Datos!I15,Datos!I15+Datos!AC15)," - ")</f>
        <v>1477</v>
      </c>
      <c r="E15" s="226">
        <f>IF(ISNUMBER(IF(D_I="SI",Datos!J15,Datos!J15+Datos!AD15)),IF(D_I="SI",Datos!J15,Datos!J15+Datos!AD15)," - ")</f>
        <v>1996</v>
      </c>
      <c r="F15" s="226">
        <f>IF(ISNUMBER(IF(D_I="SI",Datos!K15,Datos!K15+Datos!AE15)),IF(D_I="SI",Datos!K15,Datos!K15+Datos!AE15)," - ")</f>
        <v>2042</v>
      </c>
      <c r="G15" s="1034" t="str">
        <f>IF(Datos!E15&lt;&gt;"",Datos!E15,Datos!D15)</f>
        <v>03</v>
      </c>
      <c r="H15" s="227">
        <f>IF(ISNUMBER(IF(D_I="SI",Datos!L15,Datos!L15+Datos!AF15)),IF(D_I="SI",Datos!L15,Datos!L15+Datos!AF15)," - ")</f>
        <v>1508</v>
      </c>
      <c r="I15" s="1044" t="str">
        <f>IF(ISNUMBER(Datos!AS15/Datos!BM15),Datos!AS15/Datos!BM15," - ")</f>
        <v xml:space="preserve"> - </v>
      </c>
      <c r="J15" s="1045">
        <f>IF(ISNUMBER(Datos!BY15/Datos!CN15),Datos!BY15/Datos!CN15," - ")</f>
        <v>0</v>
      </c>
      <c r="K15" s="230">
        <f t="shared" ref="K15:K17" si="3">IF(ISNUMBER((E15-F15)/C15),(E15-F15)/C15," - ")</f>
        <v>-2.9601029601029602E-2</v>
      </c>
      <c r="L15" s="1025">
        <f>IF(ISNUMBER(NºAsuntos!I15/NºAsuntos!G15),(NºAsuntos!I15/NºAsuntos!G15)*11," - ")</f>
        <v>8.1234084231145935</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8</v>
      </c>
      <c r="D16" s="225">
        <f>IF(ISNUMBER(IF(D_I="SI",Datos!I16,Datos!I16+Datos!AC16)),IF(D_I="SI",Datos!I16,Datos!I16+Datos!AC16)," - ")</f>
        <v>8</v>
      </c>
      <c r="E16" s="226">
        <f>IF(ISNUMBER(IF(D_I="SI",Datos!J16,Datos!J16+Datos!AD16)),IF(D_I="SI",Datos!J16,Datos!J16+Datos!AD16)," - ")</f>
        <v>0</v>
      </c>
      <c r="F16" s="226">
        <f>IF(ISNUMBER(IF(D_I="SI",Datos!K16,Datos!K16+Datos!AE16)),IF(D_I="SI",Datos!K16,Datos!K16+Datos!AE16)," - ")</f>
        <v>0</v>
      </c>
      <c r="G16" s="1034" t="str">
        <f>IF(Datos!E16&lt;&gt;"",Datos!E16,Datos!D16)</f>
        <v>04</v>
      </c>
      <c r="H16" s="227">
        <f>IF(ISNUMBER(IF(D_I="SI",Datos!L16,Datos!L16+Datos!AF16)),IF(D_I="SI",Datos!L16,Datos!L16+Datos!AF16)," - ")</f>
        <v>8</v>
      </c>
      <c r="I16" s="1044" t="str">
        <f>IF(ISNUMBER(Datos!AS16/Datos!BM16),Datos!AS16/Datos!BM16," - ")</f>
        <v xml:space="preserve"> - </v>
      </c>
      <c r="J16" s="1045">
        <f>IF(ISNUMBER(Datos!BY16/Datos!CN16),Datos!BY16/Datos!CN16," - ")</f>
        <v>0</v>
      </c>
      <c r="K16" s="230">
        <f t="shared" si="3"/>
        <v>0</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242</v>
      </c>
      <c r="D17" s="225">
        <f>IF(ISNUMBER(IF(D_I="SI",Datos!I17,Datos!I17+Datos!AC17)),IF(D_I="SI",Datos!I17,Datos!I17+Datos!AC17)," - ")</f>
        <v>242</v>
      </c>
      <c r="E17" s="226">
        <f>IF(ISNUMBER(IF(D_I="SI",Datos!J17,Datos!J17+Datos!AD17)),IF(D_I="SI",Datos!J17,Datos!J17+Datos!AD17)," - ")</f>
        <v>286</v>
      </c>
      <c r="F17" s="226">
        <f>IF(ISNUMBER(IF(D_I="SI",Datos!K17,Datos!K17+Datos!AE17)),IF(D_I="SI",Datos!K17,Datos!K17+Datos!AE17)," - ")</f>
        <v>322</v>
      </c>
      <c r="G17" s="1034" t="str">
        <f>IF(Datos!E17&lt;&gt;"",Datos!E17,Datos!D17)</f>
        <v>37</v>
      </c>
      <c r="H17" s="227">
        <f>IF(ISNUMBER(IF(D_I="SI",Datos!L17,Datos!L17+Datos!AF17)),IF(D_I="SI",Datos!L17,Datos!L17+Datos!AF17)," - ")</f>
        <v>206</v>
      </c>
      <c r="I17" s="1044" t="str">
        <f>IF(ISNUMBER(Datos!AS17/Datos!BM17),Datos!AS17/Datos!BM17," - ")</f>
        <v xml:space="preserve"> - </v>
      </c>
      <c r="J17" s="1045" t="str">
        <f>IF(ISNUMBER((Datos!BY17+Datos!BZ17)/Datos!CN17),(Datos!BY17+Datos!BZ17)/Datos!CN17," - ")</f>
        <v xml:space="preserve"> - </v>
      </c>
      <c r="K17" s="230">
        <f t="shared" si="3"/>
        <v>-0.1487603305785124</v>
      </c>
      <c r="L17" s="1025">
        <f>IF(ISNUMBER(NºAsuntos!I17/NºAsuntos!G17),(NºAsuntos!I17/NºAsuntos!G17)*11," - ")</f>
        <v>7.037267080745341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1804</v>
      </c>
      <c r="D18" s="1049">
        <f>SUBTOTAL(9,D15:D17)</f>
        <v>1727</v>
      </c>
      <c r="E18" s="1050">
        <f>SUBTOTAL(9,E15:E17)</f>
        <v>2282</v>
      </c>
      <c r="F18" s="1050">
        <f>SUBTOTAL(9,F15:F17)</f>
        <v>2364</v>
      </c>
      <c r="G18" s="1052" t="str">
        <f ca="1">INDIRECT(CONCATENATE("G",ROW()-1))</f>
        <v>37</v>
      </c>
      <c r="H18" s="1053">
        <f ca="1">SUMIF(G$14:G17,G18,H$14:H17)</f>
        <v>206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1937</v>
      </c>
      <c r="D19" s="1071">
        <f>SUBTOTAL(9,D9:D18)</f>
        <v>1860</v>
      </c>
      <c r="E19" s="1072">
        <f>SUBTOTAL(9,E9:E18)</f>
        <v>2315</v>
      </c>
      <c r="F19" s="1072">
        <f>SUBTOTAL(9,F9:F18)</f>
        <v>2399</v>
      </c>
      <c r="G19" s="1073"/>
      <c r="H19" s="1074">
        <f ca="1">SUMIF(B9:B18,"TOTAL",H9:H18)</f>
        <v>206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627</v>
      </c>
      <c r="O25" s="1355"/>
      <c r="P25" s="1355"/>
      <c r="Q25" s="1355"/>
      <c r="R25" s="1355"/>
      <c r="S25" s="1355"/>
      <c r="T25" s="1355"/>
      <c r="U25" s="1355"/>
      <c r="V25" s="1355"/>
      <c r="W25" s="1355"/>
      <c r="Y25" s="1355" t="s">
        <v>628</v>
      </c>
      <c r="Z25" s="1355"/>
      <c r="AA25" s="1355"/>
      <c r="AB25" s="1355"/>
      <c r="AC25" s="1355"/>
      <c r="AD25" s="1355"/>
    </row>
    <row r="27" spans="1:78">
      <c r="N27" s="1031" t="s">
        <v>629</v>
      </c>
      <c r="O27" s="1356" t="s">
        <v>630</v>
      </c>
      <c r="P27" s="1356"/>
      <c r="Q27" s="1356"/>
      <c r="R27" s="1356"/>
      <c r="S27" s="1356"/>
      <c r="T27" s="1356"/>
      <c r="U27" s="1356"/>
      <c r="V27" s="1356"/>
      <c r="W27" s="1356"/>
      <c r="Y27" s="1031" t="s">
        <v>629</v>
      </c>
      <c r="Z27" s="1357" t="s">
        <v>631</v>
      </c>
      <c r="AA27" s="1357"/>
      <c r="AB27" s="1357"/>
      <c r="AC27" s="1357"/>
      <c r="AD27" s="1357"/>
    </row>
    <row r="28" spans="1:78">
      <c r="N28" s="1031" t="s">
        <v>632</v>
      </c>
      <c r="O28" s="1356" t="s">
        <v>633</v>
      </c>
      <c r="P28" s="1356"/>
      <c r="Q28" s="1356"/>
      <c r="R28" s="1356"/>
      <c r="S28" s="1356"/>
      <c r="T28" s="1356"/>
      <c r="U28" s="1356"/>
      <c r="V28" s="1356"/>
      <c r="W28" s="1356"/>
      <c r="Y28" s="1031" t="s">
        <v>632</v>
      </c>
      <c r="Z28" s="1357" t="s">
        <v>634</v>
      </c>
      <c r="AA28" s="1357"/>
      <c r="AB28" s="1357"/>
      <c r="AC28" s="1357"/>
      <c r="AD28" s="1357"/>
    </row>
    <row r="29" spans="1:78">
      <c r="N29" s="1031" t="s">
        <v>635</v>
      </c>
      <c r="O29" s="1356" t="s">
        <v>636</v>
      </c>
      <c r="P29" s="1356"/>
      <c r="Q29" s="1356"/>
      <c r="R29" s="1356"/>
      <c r="S29" s="1356"/>
      <c r="T29" s="1356"/>
      <c r="U29" s="1356"/>
      <c r="V29" s="1356"/>
      <c r="W29" s="1356"/>
      <c r="Y29" s="1031" t="s">
        <v>637</v>
      </c>
      <c r="Z29" s="1357" t="s">
        <v>872</v>
      </c>
      <c r="AA29" s="1357"/>
      <c r="AB29" s="1357"/>
      <c r="AC29" s="1357"/>
      <c r="AD29" s="1357"/>
    </row>
    <row r="30" spans="1:78">
      <c r="N30" s="1031" t="s">
        <v>638</v>
      </c>
      <c r="O30" s="1356" t="s">
        <v>639</v>
      </c>
      <c r="P30" s="1356"/>
      <c r="Q30" s="1356"/>
      <c r="R30" s="1356"/>
      <c r="S30" s="1356"/>
      <c r="T30" s="1356"/>
      <c r="U30" s="1356"/>
      <c r="V30" s="1356"/>
      <c r="W30" s="1356"/>
      <c r="Y30" s="1031" t="s">
        <v>640</v>
      </c>
      <c r="Z30" s="1357" t="s">
        <v>873</v>
      </c>
      <c r="AA30" s="1357"/>
      <c r="AB30" s="1357"/>
      <c r="AC30" s="1357"/>
      <c r="AD30" s="1357"/>
    </row>
    <row r="31" spans="1:78">
      <c r="N31" s="1031" t="s">
        <v>723</v>
      </c>
      <c r="O31" s="1356" t="s">
        <v>724</v>
      </c>
      <c r="P31" s="1356"/>
      <c r="Q31" s="1356"/>
      <c r="R31" s="1356"/>
      <c r="S31" s="1356"/>
      <c r="T31" s="1356"/>
      <c r="U31" s="1356"/>
      <c r="V31" s="1356"/>
      <c r="W31" s="1356"/>
      <c r="Y31" s="1031" t="s">
        <v>635</v>
      </c>
      <c r="Z31" s="1357" t="s">
        <v>636</v>
      </c>
      <c r="AA31" s="1357"/>
      <c r="AB31" s="1357"/>
      <c r="AC31" s="1357"/>
      <c r="AD31" s="1357"/>
    </row>
    <row r="32" spans="1:78">
      <c r="N32" s="1031" t="s">
        <v>641</v>
      </c>
      <c r="O32" s="1356" t="s">
        <v>642</v>
      </c>
      <c r="P32" s="1356"/>
      <c r="Q32" s="1356"/>
      <c r="R32" s="1356"/>
      <c r="S32" s="1356"/>
      <c r="T32" s="1356"/>
      <c r="U32" s="1356"/>
      <c r="V32" s="1356"/>
      <c r="W32" s="1356"/>
      <c r="Y32" s="1031" t="s">
        <v>638</v>
      </c>
      <c r="Z32" s="1357" t="s">
        <v>639</v>
      </c>
      <c r="AA32" s="1357"/>
      <c r="AB32" s="1357"/>
      <c r="AC32" s="1357"/>
      <c r="AD32" s="1357"/>
    </row>
    <row r="33" spans="14:30">
      <c r="N33" s="1031" t="s">
        <v>643</v>
      </c>
      <c r="O33" s="1356" t="s">
        <v>644</v>
      </c>
      <c r="P33" s="1356"/>
      <c r="Q33" s="1356"/>
      <c r="R33" s="1356"/>
      <c r="S33" s="1356"/>
      <c r="T33" s="1356"/>
      <c r="U33" s="1356"/>
      <c r="V33" s="1356"/>
      <c r="W33" s="1356"/>
      <c r="Y33" s="1031" t="s">
        <v>723</v>
      </c>
      <c r="Z33" s="1357" t="s">
        <v>902</v>
      </c>
      <c r="AA33" s="1357"/>
      <c r="AB33" s="1357"/>
      <c r="AC33" s="1357"/>
      <c r="AD33" s="1357"/>
    </row>
    <row r="34" spans="14:30">
      <c r="N34" s="1031" t="s">
        <v>637</v>
      </c>
      <c r="O34" s="1356" t="s">
        <v>870</v>
      </c>
      <c r="P34" s="1356"/>
      <c r="Q34" s="1356"/>
      <c r="R34" s="1356"/>
      <c r="S34" s="1356"/>
      <c r="T34" s="1356"/>
      <c r="U34" s="1356"/>
      <c r="V34" s="1356"/>
      <c r="W34" s="1356"/>
      <c r="Y34" s="1031" t="s">
        <v>645</v>
      </c>
      <c r="Z34" s="1357" t="s">
        <v>646</v>
      </c>
      <c r="AA34" s="1357"/>
      <c r="AB34" s="1357"/>
      <c r="AC34" s="1357"/>
      <c r="AD34" s="1357"/>
    </row>
    <row r="35" spans="14:30">
      <c r="N35" s="1031" t="s">
        <v>640</v>
      </c>
      <c r="O35" s="1356" t="s">
        <v>871</v>
      </c>
      <c r="P35" s="1356"/>
      <c r="Q35" s="1356"/>
      <c r="R35" s="1356"/>
      <c r="S35" s="1356"/>
      <c r="T35" s="1356"/>
      <c r="U35" s="1356"/>
      <c r="V35" s="1356"/>
      <c r="W35" s="1356"/>
      <c r="Y35" s="1031" t="s">
        <v>647</v>
      </c>
      <c r="Z35" s="1357" t="s">
        <v>648</v>
      </c>
      <c r="AA35" s="1357"/>
      <c r="AB35" s="1357"/>
      <c r="AC35" s="1357"/>
      <c r="AD35" s="1357"/>
    </row>
    <row r="36" spans="14:30">
      <c r="N36" s="1031" t="s">
        <v>645</v>
      </c>
      <c r="O36" s="1356" t="s">
        <v>649</v>
      </c>
      <c r="P36" s="1356"/>
      <c r="Q36" s="1356"/>
      <c r="R36" s="1356"/>
      <c r="S36" s="1356"/>
      <c r="T36" s="1356"/>
      <c r="U36" s="1356"/>
      <c r="V36" s="1356"/>
      <c r="W36" s="1356"/>
      <c r="Y36" s="1031" t="s">
        <v>650</v>
      </c>
      <c r="Z36" s="1357" t="s">
        <v>651</v>
      </c>
      <c r="AA36" s="1357"/>
      <c r="AB36" s="1357"/>
      <c r="AC36" s="1357"/>
      <c r="AD36" s="1357"/>
    </row>
    <row r="37" spans="14:30">
      <c r="N37" s="1031" t="s">
        <v>652</v>
      </c>
      <c r="O37" s="1356" t="s">
        <v>653</v>
      </c>
      <c r="P37" s="1356"/>
      <c r="Q37" s="1356"/>
      <c r="R37" s="1356"/>
      <c r="S37" s="1356"/>
      <c r="T37" s="1356"/>
      <c r="U37" s="1356"/>
      <c r="V37" s="1356"/>
      <c r="W37" s="1356"/>
      <c r="Y37" s="1031" t="s">
        <v>641</v>
      </c>
      <c r="Z37" s="1357" t="s">
        <v>642</v>
      </c>
      <c r="AA37" s="1357"/>
      <c r="AB37" s="1357"/>
      <c r="AC37" s="1357"/>
      <c r="AD37" s="1357"/>
    </row>
    <row r="38" spans="14:30">
      <c r="N38" s="1031" t="s">
        <v>647</v>
      </c>
      <c r="O38" s="1356" t="s">
        <v>654</v>
      </c>
      <c r="P38" s="1356"/>
      <c r="Q38" s="1356"/>
      <c r="R38" s="1356"/>
      <c r="S38" s="1356"/>
      <c r="T38" s="1356"/>
      <c r="U38" s="1356"/>
      <c r="V38" s="1356"/>
      <c r="W38" s="1356"/>
      <c r="Y38" s="1032" t="s">
        <v>643</v>
      </c>
      <c r="Z38" s="1359" t="s">
        <v>644</v>
      </c>
      <c r="AA38" s="1359"/>
      <c r="AB38" s="1359"/>
      <c r="AC38" s="1359"/>
      <c r="AD38" s="1359"/>
    </row>
    <row r="39" spans="14:30">
      <c r="N39" s="1032" t="s">
        <v>650</v>
      </c>
      <c r="O39" s="1358" t="s">
        <v>655</v>
      </c>
      <c r="P39" s="1358"/>
      <c r="Q39" s="1358"/>
      <c r="R39" s="1358"/>
      <c r="S39" s="1358"/>
      <c r="T39" s="1358"/>
      <c r="U39" s="1358"/>
      <c r="V39" s="1358"/>
      <c r="W39" s="1358"/>
    </row>
  </sheetData>
  <sheetProtection algorithmName="SHA-512" hashValue="G+0mv6aRGgi4ARuXv+r/eLA4b6c+G+XKM01ws1DzYql0Iq5YkxFd/wUAO3yzobw6KIn7+tTZMa9WU3ymR9T4yg==" saltValue="uvpwCL3nGJBzTR+t7xwY4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7D9C3O6FnD6maePNbesoIK28/1eDHPwqKXduF2QobUzsrPK8oECKCFtq97xhB0pu5kqNsMCTBZ2EmT0A7YIKDQ==" saltValue="NtnPNVsDL+9pYeh+e4czr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743</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470" t="s">
        <v>742</v>
      </c>
      <c r="ER8" s="470">
        <v>148</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v>8718</v>
      </c>
      <c r="J9" s="181">
        <v>3087</v>
      </c>
      <c r="K9" s="181">
        <v>2408</v>
      </c>
      <c r="L9" s="181">
        <v>9394</v>
      </c>
      <c r="M9" s="181">
        <v>528</v>
      </c>
      <c r="N9" s="181">
        <v>1496</v>
      </c>
      <c r="O9" s="181">
        <v>737</v>
      </c>
      <c r="P9" s="181">
        <v>501</v>
      </c>
      <c r="Q9" s="181">
        <v>346</v>
      </c>
      <c r="R9" s="181">
        <v>8609</v>
      </c>
      <c r="S9" s="181">
        <v>7769</v>
      </c>
      <c r="T9" s="181">
        <v>2718</v>
      </c>
      <c r="U9" s="181">
        <v>2339</v>
      </c>
      <c r="V9" s="181">
        <v>8255</v>
      </c>
      <c r="W9" s="181">
        <v>330</v>
      </c>
      <c r="X9" s="188">
        <v>1645</v>
      </c>
      <c r="Y9" s="191">
        <v>182</v>
      </c>
      <c r="Z9" s="181">
        <v>195</v>
      </c>
      <c r="AA9" s="181">
        <v>188</v>
      </c>
      <c r="AB9" s="181">
        <v>189</v>
      </c>
      <c r="AC9" s="181">
        <v>0</v>
      </c>
      <c r="AD9" s="181">
        <v>0</v>
      </c>
      <c r="AE9" s="181">
        <v>0</v>
      </c>
      <c r="AF9" s="188">
        <v>0</v>
      </c>
      <c r="AG9" s="191">
        <v>258</v>
      </c>
      <c r="AH9" s="181">
        <v>241</v>
      </c>
      <c r="AI9" s="181">
        <v>279</v>
      </c>
      <c r="AJ9" s="192">
        <v>220</v>
      </c>
      <c r="AK9" s="180">
        <v>0</v>
      </c>
      <c r="AL9" s="181">
        <v>0</v>
      </c>
      <c r="AM9" s="181">
        <v>0</v>
      </c>
      <c r="AN9" s="188">
        <v>0</v>
      </c>
      <c r="AO9" s="258">
        <v>6</v>
      </c>
      <c r="AP9" s="154">
        <v>6</v>
      </c>
      <c r="AQ9" s="154">
        <v>6</v>
      </c>
      <c r="AR9" s="193">
        <v>6</v>
      </c>
      <c r="AS9" s="338" t="s">
        <v>791</v>
      </c>
      <c r="AT9" s="195"/>
      <c r="AU9" s="194"/>
      <c r="AV9" s="195"/>
      <c r="AW9" s="194"/>
      <c r="AX9" s="195"/>
      <c r="AY9" s="123">
        <f>IF(ISNUMBER(IF(J_V="SI",S9,S9+AG9)),IF(J_V="SI",S9,S9+AG9)," - ")</f>
        <v>8027</v>
      </c>
      <c r="AZ9" s="123">
        <f>IF(ISNUMBER(IF(J_V="SI",T9,T9+AH9)),IF(J_V="SI",T9,T9+AH9)," - ")</f>
        <v>2959</v>
      </c>
      <c r="BA9" s="124">
        <f>IF(ISNUMBER(IF(J_V="SI",U9,U9+AI9)),IF(J_V="SI",U9,U9+AI9)," - ")</f>
        <v>2618</v>
      </c>
      <c r="BB9" s="124">
        <f>IF(ISNUMBER(IF(J_V="SI",V9,V9+AJ9)),IF(J_V="SI",V9,V9+AJ9)," - ")</f>
        <v>8475</v>
      </c>
      <c r="BC9" s="125">
        <f>IF(ISNUMBER(X9),X9," - ")</f>
        <v>1645</v>
      </c>
      <c r="BD9" s="126">
        <f>IF(ISNUMBER(BA9/AZ9),BA9/AZ9," - ")</f>
        <v>0.88475836431226762</v>
      </c>
      <c r="BE9" s="127">
        <f>IF(ISNUMBER(BB9/BA9),BB9/BA9, " - ")</f>
        <v>3.2372039724980901</v>
      </c>
      <c r="BF9" s="127">
        <f>IF(ISNUMBER(BC9/BA9),BC9/BA9, " - ")</f>
        <v>0.62834224598930477</v>
      </c>
      <c r="BG9" s="196">
        <f>IF(ISNUMBER((AY9+AZ9)/BA9),(AY9+AZ9)/BA9," - ")</f>
        <v>4.1963330786860196</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861</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133</v>
      </c>
      <c r="J10" s="181">
        <v>33</v>
      </c>
      <c r="K10" s="181">
        <v>35</v>
      </c>
      <c r="L10" s="181">
        <v>131</v>
      </c>
      <c r="M10" s="181">
        <v>14</v>
      </c>
      <c r="N10" s="181">
        <v>8</v>
      </c>
      <c r="O10" s="181">
        <v>5</v>
      </c>
      <c r="P10" s="181">
        <v>8</v>
      </c>
      <c r="Q10" s="181">
        <v>4</v>
      </c>
      <c r="R10" s="181">
        <v>76</v>
      </c>
      <c r="S10" s="181">
        <v>122</v>
      </c>
      <c r="T10" s="181">
        <v>31</v>
      </c>
      <c r="U10" s="181">
        <v>31</v>
      </c>
      <c r="V10" s="181">
        <v>122</v>
      </c>
      <c r="W10" s="181">
        <v>7</v>
      </c>
      <c r="X10" s="188">
        <v>8</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785</v>
      </c>
      <c r="AT10" s="192"/>
      <c r="AU10" s="200"/>
      <c r="AV10" s="192"/>
      <c r="AW10" s="200"/>
      <c r="AX10" s="192"/>
      <c r="AY10" s="128">
        <f t="shared" ref="AY10:BC10" si="0">IF(ISNUMBER(S10),S10," - ")</f>
        <v>122</v>
      </c>
      <c r="AZ10" s="129">
        <f t="shared" si="0"/>
        <v>31</v>
      </c>
      <c r="BA10" s="129">
        <f t="shared" si="0"/>
        <v>31</v>
      </c>
      <c r="BB10" s="129">
        <f t="shared" si="0"/>
        <v>122</v>
      </c>
      <c r="BC10" s="125">
        <f t="shared" si="0"/>
        <v>7</v>
      </c>
      <c r="BD10" s="126">
        <f>IF(ISNUMBER(BA10/AZ10),BA10/AZ10," - ")</f>
        <v>1</v>
      </c>
      <c r="BE10" s="127">
        <f>IF(ISNUMBER(BB10/BA10),BB10/BA10, " - ")</f>
        <v>3.935483870967742</v>
      </c>
      <c r="BF10" s="127">
        <f>IF(ISNUMBER(BC10/BA10),BC10/BA10, " - ")</f>
        <v>0.22580645161290322</v>
      </c>
      <c r="BG10" s="196">
        <f>IF(ISNUMBER((AY10+AZ10)/BA10),(AY10+AZ10)/BA10," - ")</f>
        <v>4.935483870967742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759</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798</v>
      </c>
      <c r="J11" s="183" t="s">
        <v>792</v>
      </c>
      <c r="K11" s="183" t="s">
        <v>841</v>
      </c>
      <c r="L11" s="183" t="s">
        <v>803</v>
      </c>
      <c r="M11" s="183" t="s">
        <v>483</v>
      </c>
      <c r="N11" s="183" t="s">
        <v>497</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793</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862</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798</v>
      </c>
      <c r="J12" s="183" t="s">
        <v>792</v>
      </c>
      <c r="K12" s="183" t="s">
        <v>841</v>
      </c>
      <c r="L12" s="183" t="s">
        <v>803</v>
      </c>
      <c r="M12" s="183" t="s">
        <v>483</v>
      </c>
      <c r="N12" s="183" t="s">
        <v>497</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794</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863</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8851</v>
      </c>
      <c r="J13" s="184">
        <f t="shared" si="6"/>
        <v>3120</v>
      </c>
      <c r="K13" s="184">
        <f t="shared" si="6"/>
        <v>2443</v>
      </c>
      <c r="L13" s="184">
        <f t="shared" si="6"/>
        <v>9525</v>
      </c>
      <c r="M13" s="184">
        <f t="shared" si="6"/>
        <v>542</v>
      </c>
      <c r="N13" s="184">
        <f t="shared" si="6"/>
        <v>1504</v>
      </c>
      <c r="O13" s="184">
        <f t="shared" si="6"/>
        <v>742</v>
      </c>
      <c r="P13" s="184">
        <f t="shared" si="6"/>
        <v>509</v>
      </c>
      <c r="Q13" s="184">
        <f t="shared" si="6"/>
        <v>350</v>
      </c>
      <c r="R13" s="184">
        <f t="shared" si="6"/>
        <v>8685</v>
      </c>
      <c r="S13" s="184">
        <f t="shared" si="6"/>
        <v>7891</v>
      </c>
      <c r="T13" s="184">
        <f t="shared" si="6"/>
        <v>2749</v>
      </c>
      <c r="U13" s="184">
        <f t="shared" si="6"/>
        <v>2370</v>
      </c>
      <c r="V13" s="184">
        <f t="shared" si="6"/>
        <v>8377</v>
      </c>
      <c r="W13" s="184">
        <f t="shared" si="6"/>
        <v>337</v>
      </c>
      <c r="X13" s="184">
        <f t="shared" si="6"/>
        <v>1653</v>
      </c>
      <c r="Y13" s="184">
        <f t="shared" si="6"/>
        <v>182</v>
      </c>
      <c r="Z13" s="184">
        <f t="shared" si="6"/>
        <v>195</v>
      </c>
      <c r="AA13" s="184">
        <f t="shared" si="6"/>
        <v>188</v>
      </c>
      <c r="AB13" s="184">
        <f t="shared" si="6"/>
        <v>189</v>
      </c>
      <c r="AC13" s="184">
        <f t="shared" si="6"/>
        <v>0</v>
      </c>
      <c r="AD13" s="184">
        <f t="shared" si="6"/>
        <v>0</v>
      </c>
      <c r="AE13" s="184">
        <f t="shared" si="6"/>
        <v>0</v>
      </c>
      <c r="AF13" s="184">
        <f>SUBTOTAL(9,AF9:AF12)</f>
        <v>0</v>
      </c>
      <c r="AG13" s="184">
        <f t="shared" ref="AG13:AT13" si="7">SUBTOTAL(9,AG8:AG12)</f>
        <v>258</v>
      </c>
      <c r="AH13" s="184">
        <f t="shared" si="7"/>
        <v>241</v>
      </c>
      <c r="AI13" s="184">
        <f t="shared" si="7"/>
        <v>279</v>
      </c>
      <c r="AJ13" s="184">
        <f t="shared" si="7"/>
        <v>220</v>
      </c>
      <c r="AK13" s="184">
        <f t="shared" si="7"/>
        <v>0</v>
      </c>
      <c r="AL13" s="184">
        <f t="shared" si="7"/>
        <v>0</v>
      </c>
      <c r="AM13" s="184">
        <f t="shared" si="7"/>
        <v>0</v>
      </c>
      <c r="AN13" s="184">
        <f t="shared" si="7"/>
        <v>0</v>
      </c>
      <c r="AO13" s="184">
        <f t="shared" si="7"/>
        <v>7</v>
      </c>
      <c r="AP13" s="184">
        <f t="shared" si="7"/>
        <v>7</v>
      </c>
      <c r="AQ13" s="184">
        <f t="shared" si="7"/>
        <v>7</v>
      </c>
      <c r="AR13" s="184">
        <f t="shared" si="7"/>
        <v>7</v>
      </c>
      <c r="AS13" s="184">
        <f t="shared" si="7"/>
        <v>0</v>
      </c>
      <c r="AT13" s="184">
        <f t="shared" si="7"/>
        <v>0</v>
      </c>
      <c r="AU13" s="204"/>
      <c r="AV13" s="132"/>
      <c r="AW13" s="204"/>
      <c r="AX13" s="132"/>
      <c r="AY13" s="184">
        <f>SUBTOTAL(9,AY8:AY12)</f>
        <v>8149</v>
      </c>
      <c r="AZ13" s="184">
        <f>SUBTOTAL(9,AZ8:AZ12)</f>
        <v>2990</v>
      </c>
      <c r="BA13" s="184">
        <f>SUBTOTAL(9,BA8:BA12)</f>
        <v>2649</v>
      </c>
      <c r="BB13" s="184">
        <f>SUBTOTAL(9,BB8:BB12)</f>
        <v>8597</v>
      </c>
      <c r="BC13" s="184">
        <f>SUBTOTAL(9,BC8:BC12)</f>
        <v>1652</v>
      </c>
      <c r="BD13" s="205">
        <f>IF(ISNUMBER(BA13/AZ13),BA13/AZ13," - ")</f>
        <v>0.88595317725752509</v>
      </c>
      <c r="BE13" s="206">
        <f>IF(ISNUMBER(BB13/BA13),BB13/BA13, " - ")</f>
        <v>3.2453756134390335</v>
      </c>
      <c r="BF13" s="206">
        <f>IF(ISNUMBER(BC13/BA13),BC13/BA13, " - ")</f>
        <v>0.62363155907889767</v>
      </c>
      <c r="BG13" s="207">
        <f>IF(ISNUMBER((AY13+AZ13)/BA13),(AY13+AZ13)/BA13," - ")</f>
        <v>4.2049830124575314</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1477</v>
      </c>
      <c r="J15" s="183">
        <v>1996</v>
      </c>
      <c r="K15" s="183">
        <v>2042</v>
      </c>
      <c r="L15" s="183">
        <v>1508</v>
      </c>
      <c r="M15" s="183">
        <v>214</v>
      </c>
      <c r="N15" s="183">
        <v>1275</v>
      </c>
      <c r="O15" s="181">
        <v>68</v>
      </c>
      <c r="P15" s="183">
        <v>54</v>
      </c>
      <c r="Q15" s="183">
        <v>93</v>
      </c>
      <c r="R15" s="183">
        <v>249</v>
      </c>
      <c r="S15" s="183">
        <v>1177</v>
      </c>
      <c r="T15" s="183">
        <v>1908</v>
      </c>
      <c r="U15" s="183">
        <v>1931</v>
      </c>
      <c r="V15" s="183">
        <v>1263</v>
      </c>
      <c r="W15" s="183">
        <v>232</v>
      </c>
      <c r="X15" s="189">
        <v>1224</v>
      </c>
      <c r="Y15" s="202">
        <v>0</v>
      </c>
      <c r="Z15" s="183">
        <v>0</v>
      </c>
      <c r="AA15" s="183">
        <v>0</v>
      </c>
      <c r="AB15" s="183">
        <v>0</v>
      </c>
      <c r="AC15" s="183">
        <v>3</v>
      </c>
      <c r="AD15" s="183">
        <v>104</v>
      </c>
      <c r="AE15" s="183">
        <v>69</v>
      </c>
      <c r="AF15" s="189">
        <v>38</v>
      </c>
      <c r="AG15" s="202">
        <v>0</v>
      </c>
      <c r="AH15" s="183">
        <v>0</v>
      </c>
      <c r="AI15" s="183">
        <v>0</v>
      </c>
      <c r="AJ15" s="203">
        <v>0</v>
      </c>
      <c r="AK15" s="182">
        <v>0</v>
      </c>
      <c r="AL15" s="183">
        <v>50</v>
      </c>
      <c r="AM15" s="183">
        <v>48</v>
      </c>
      <c r="AN15" s="189">
        <v>2</v>
      </c>
      <c r="AO15" s="259">
        <v>4</v>
      </c>
      <c r="AP15" s="155">
        <v>4</v>
      </c>
      <c r="AQ15" s="155">
        <v>4</v>
      </c>
      <c r="AR15" s="155">
        <v>4</v>
      </c>
      <c r="AS15" s="340" t="s">
        <v>519</v>
      </c>
      <c r="AT15" s="203" t="s">
        <v>326</v>
      </c>
      <c r="AU15" s="202"/>
      <c r="AV15" s="203"/>
      <c r="AW15" s="202"/>
      <c r="AX15" s="203"/>
      <c r="AY15" s="128">
        <f t="shared" ref="AY15:BB16" si="9">IF(ISNUMBER(IF(D_I="SI",S15,S15+AK15)),IF(D_I="SI",S15,S15+AK15)," - ")</f>
        <v>1177</v>
      </c>
      <c r="AZ15" s="129">
        <f t="shared" si="9"/>
        <v>1908</v>
      </c>
      <c r="BA15" s="129">
        <f t="shared" si="9"/>
        <v>1931</v>
      </c>
      <c r="BB15" s="129">
        <f t="shared" si="9"/>
        <v>1263</v>
      </c>
      <c r="BC15" s="125">
        <f>IF(ISNUMBER(W15),W15," - ")</f>
        <v>232</v>
      </c>
      <c r="BD15" s="126">
        <f>IF(ISNUMBER(BA15/AZ15),BA15/AZ15," - ")</f>
        <v>1.0120545073375262</v>
      </c>
      <c r="BE15" s="127">
        <f>IF(ISNUMBER(BB15/BA15),BB15/BA15, " - ")</f>
        <v>0.65406525116519942</v>
      </c>
      <c r="BF15" s="127">
        <f>IF(ISNUMBER(BC15/BA15),BC15/BA15, " - ")</f>
        <v>0.12014500258933196</v>
      </c>
      <c r="BG15" s="196">
        <f t="shared" ref="BG15:BG16" si="10">IF(ISNUMBER((AY15+AZ15)/BA15),(AY15+AZ15)/BA15," - ")</f>
        <v>1.5976178146038322</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795</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v>
      </c>
      <c r="J16" s="183">
        <v>0</v>
      </c>
      <c r="K16" s="183">
        <v>0</v>
      </c>
      <c r="L16" s="183">
        <v>8</v>
      </c>
      <c r="M16" s="183">
        <v>0</v>
      </c>
      <c r="N16" s="183">
        <v>0</v>
      </c>
      <c r="O16" s="181">
        <v>0</v>
      </c>
      <c r="P16" s="183">
        <v>0</v>
      </c>
      <c r="Q16" s="183">
        <v>0</v>
      </c>
      <c r="R16" s="183">
        <v>0</v>
      </c>
      <c r="S16" s="183">
        <v>8</v>
      </c>
      <c r="T16" s="183">
        <v>0</v>
      </c>
      <c r="U16" s="183">
        <v>0</v>
      </c>
      <c r="V16" s="183">
        <v>8</v>
      </c>
      <c r="W16" s="183">
        <v>0</v>
      </c>
      <c r="X16" s="189">
        <v>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0</v>
      </c>
      <c r="AP16" s="155">
        <v>0</v>
      </c>
      <c r="AQ16" s="155">
        <v>0</v>
      </c>
      <c r="AR16" s="155">
        <v>0</v>
      </c>
      <c r="AS16" s="340" t="s">
        <v>481</v>
      </c>
      <c r="AT16" s="203"/>
      <c r="AU16" s="202"/>
      <c r="AV16" s="203"/>
      <c r="AW16" s="202"/>
      <c r="AX16" s="203"/>
      <c r="AY16" s="126">
        <f t="shared" si="9"/>
        <v>8</v>
      </c>
      <c r="AZ16" s="127">
        <f t="shared" si="9"/>
        <v>0</v>
      </c>
      <c r="BA16" s="127">
        <f t="shared" si="9"/>
        <v>0</v>
      </c>
      <c r="BB16" s="127">
        <f t="shared" si="9"/>
        <v>8</v>
      </c>
      <c r="BC16" s="125">
        <f>IF(ISNUMBER(W16),W16," - ")</f>
        <v>0</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765</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242</v>
      </c>
      <c r="J17" s="183">
        <v>286</v>
      </c>
      <c r="K17" s="183">
        <v>322</v>
      </c>
      <c r="L17" s="183">
        <v>206</v>
      </c>
      <c r="M17" s="183">
        <v>18</v>
      </c>
      <c r="N17" s="183">
        <v>202</v>
      </c>
      <c r="O17" s="183">
        <v>0</v>
      </c>
      <c r="P17" s="183">
        <v>1</v>
      </c>
      <c r="Q17" s="183">
        <v>0</v>
      </c>
      <c r="R17" s="183">
        <v>9</v>
      </c>
      <c r="S17" s="183">
        <v>211</v>
      </c>
      <c r="T17" s="183">
        <v>355</v>
      </c>
      <c r="U17" s="183">
        <v>348</v>
      </c>
      <c r="V17" s="183">
        <v>230</v>
      </c>
      <c r="W17" s="183">
        <v>23</v>
      </c>
      <c r="X17" s="189">
        <v>198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784</v>
      </c>
      <c r="AT17" s="209"/>
      <c r="AU17" s="200"/>
      <c r="AV17" s="209"/>
      <c r="AW17" s="200"/>
      <c r="AX17" s="209"/>
      <c r="AY17" s="128">
        <f t="shared" ref="AY17:BB17" si="14">IF(ISNUMBER(S17),S17," - ")</f>
        <v>211</v>
      </c>
      <c r="AZ17" s="129">
        <f t="shared" si="14"/>
        <v>355</v>
      </c>
      <c r="BA17" s="129">
        <f t="shared" si="14"/>
        <v>348</v>
      </c>
      <c r="BB17" s="129">
        <f t="shared" si="14"/>
        <v>230</v>
      </c>
      <c r="BC17" s="125">
        <f>IF(ISNUMBER(W17),W17," - ")</f>
        <v>23</v>
      </c>
      <c r="BD17" s="126">
        <f>IF(ISNUMBER(BA17/AZ17),BA17/AZ17," - ")</f>
        <v>0.9802816901408451</v>
      </c>
      <c r="BE17" s="127">
        <f>IF(ISNUMBER(BB17/BA17),BB17/BA17, " - ")</f>
        <v>0.66091954022988508</v>
      </c>
      <c r="BF17" s="127">
        <f>IF(ISNUMBER(BC17/BA17),BC17/BA17, " - ")</f>
        <v>6.6091954022988508E-2</v>
      </c>
      <c r="BG17" s="196">
        <f>IF(ISNUMBER((AY17+AZ17)/BA17),(AY17+AZ17)/BA17," - ")</f>
        <v>1.6264367816091954</v>
      </c>
      <c r="BH17" s="155">
        <v>1</v>
      </c>
      <c r="BI17" s="155"/>
      <c r="BJ17" s="200"/>
      <c r="BK17" s="154"/>
      <c r="BL17" s="154"/>
      <c r="BM17" s="154">
        <v>1800</v>
      </c>
      <c r="BN17" s="154"/>
      <c r="BO17" s="154"/>
      <c r="BP17" s="154"/>
      <c r="BQ17" s="154"/>
      <c r="BR17" s="154"/>
      <c r="BS17" s="154"/>
      <c r="BT17" s="154"/>
      <c r="BU17" s="154"/>
      <c r="BV17" s="154"/>
      <c r="BW17" s="154"/>
      <c r="BX17" s="154"/>
      <c r="BY17" s="174" t="s">
        <v>721</v>
      </c>
      <c r="BZ17" s="174" t="s">
        <v>722</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766</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1727</v>
      </c>
      <c r="J18" s="184">
        <f t="shared" si="15"/>
        <v>2282</v>
      </c>
      <c r="K18" s="184">
        <f t="shared" si="15"/>
        <v>2364</v>
      </c>
      <c r="L18" s="184">
        <f t="shared" si="15"/>
        <v>1722</v>
      </c>
      <c r="M18" s="184">
        <f t="shared" si="15"/>
        <v>232</v>
      </c>
      <c r="N18" s="184">
        <f t="shared" si="15"/>
        <v>1477</v>
      </c>
      <c r="O18" s="184">
        <f t="shared" si="15"/>
        <v>68</v>
      </c>
      <c r="P18" s="184">
        <f t="shared" si="15"/>
        <v>55</v>
      </c>
      <c r="Q18" s="184">
        <f t="shared" si="15"/>
        <v>93</v>
      </c>
      <c r="R18" s="184">
        <f t="shared" si="15"/>
        <v>258</v>
      </c>
      <c r="S18" s="184">
        <f t="shared" si="15"/>
        <v>1396</v>
      </c>
      <c r="T18" s="184">
        <f t="shared" si="15"/>
        <v>2263</v>
      </c>
      <c r="U18" s="184">
        <f t="shared" si="15"/>
        <v>2279</v>
      </c>
      <c r="V18" s="184">
        <f t="shared" si="15"/>
        <v>1501</v>
      </c>
      <c r="W18" s="184">
        <f t="shared" si="15"/>
        <v>255</v>
      </c>
      <c r="X18" s="184">
        <f t="shared" si="15"/>
        <v>1422</v>
      </c>
      <c r="Y18" s="184">
        <f t="shared" si="15"/>
        <v>0</v>
      </c>
      <c r="Z18" s="184">
        <f t="shared" si="15"/>
        <v>0</v>
      </c>
      <c r="AA18" s="184">
        <f t="shared" si="15"/>
        <v>0</v>
      </c>
      <c r="AB18" s="184">
        <f t="shared" si="15"/>
        <v>0</v>
      </c>
      <c r="AC18" s="184">
        <f t="shared" si="15"/>
        <v>3</v>
      </c>
      <c r="AD18" s="184">
        <f t="shared" si="15"/>
        <v>104</v>
      </c>
      <c r="AE18" s="184">
        <f t="shared" si="15"/>
        <v>69</v>
      </c>
      <c r="AF18" s="184">
        <f t="shared" si="15"/>
        <v>38</v>
      </c>
      <c r="AG18" s="184">
        <f t="shared" si="15"/>
        <v>0</v>
      </c>
      <c r="AH18" s="184">
        <f t="shared" si="15"/>
        <v>0</v>
      </c>
      <c r="AI18" s="184">
        <f t="shared" si="15"/>
        <v>0</v>
      </c>
      <c r="AJ18" s="184">
        <f t="shared" si="15"/>
        <v>0</v>
      </c>
      <c r="AK18" s="184">
        <f t="shared" si="15"/>
        <v>0</v>
      </c>
      <c r="AL18" s="184">
        <f t="shared" si="15"/>
        <v>50</v>
      </c>
      <c r="AM18" s="184">
        <f t="shared" si="15"/>
        <v>48</v>
      </c>
      <c r="AN18" s="184">
        <f t="shared" si="15"/>
        <v>2</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1396</v>
      </c>
      <c r="AZ18" s="184">
        <f>SUBTOTAL(9,AZ14:AZ17)</f>
        <v>2263</v>
      </c>
      <c r="BA18" s="184">
        <f>SUBTOTAL(9,BA14:BA17)</f>
        <v>2279</v>
      </c>
      <c r="BB18" s="184">
        <f>SUBTOTAL(9,BB14:BB17)</f>
        <v>1501</v>
      </c>
      <c r="BC18" s="184">
        <f>SUBTOTAL(9,BC14:BC17)</f>
        <v>255</v>
      </c>
      <c r="BD18" s="205">
        <f>IF(ISNUMBER(BA18/AZ18),BA18/AZ18," - ")</f>
        <v>1.0070702607158639</v>
      </c>
      <c r="BE18" s="206">
        <f>IF(ISNUMBER(BB18/BA18),BB18/BA18, " - ")</f>
        <v>0.65862220272049143</v>
      </c>
      <c r="BF18" s="206">
        <f>IF(ISNUMBER(BC18/BA18),BC18/BA18, " - ")</f>
        <v>0.11189118034225537</v>
      </c>
      <c r="BG18" s="207">
        <f>IF(ISNUMBER((AY18+AZ18)/BA18),(AY18+AZ18)/BA18," - ")</f>
        <v>1.605528740675735</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10578</v>
      </c>
      <c r="J19" s="134">
        <f t="shared" si="18"/>
        <v>5402</v>
      </c>
      <c r="K19" s="134">
        <f t="shared" si="18"/>
        <v>4807</v>
      </c>
      <c r="L19" s="134">
        <f t="shared" si="18"/>
        <v>11247</v>
      </c>
      <c r="M19" s="134">
        <f t="shared" si="18"/>
        <v>774</v>
      </c>
      <c r="N19" s="134">
        <f t="shared" si="18"/>
        <v>2981</v>
      </c>
      <c r="O19" s="134">
        <f t="shared" si="18"/>
        <v>810</v>
      </c>
      <c r="P19" s="134">
        <f t="shared" si="18"/>
        <v>564</v>
      </c>
      <c r="Q19" s="134">
        <f t="shared" si="18"/>
        <v>443</v>
      </c>
      <c r="R19" s="134">
        <f t="shared" si="18"/>
        <v>8943</v>
      </c>
      <c r="S19" s="134">
        <f t="shared" si="18"/>
        <v>9287</v>
      </c>
      <c r="T19" s="134">
        <f t="shared" si="18"/>
        <v>5012</v>
      </c>
      <c r="U19" s="134">
        <f t="shared" si="18"/>
        <v>4649</v>
      </c>
      <c r="V19" s="134">
        <f t="shared" si="18"/>
        <v>9878</v>
      </c>
      <c r="W19" s="134">
        <f t="shared" si="18"/>
        <v>592</v>
      </c>
      <c r="X19" s="134">
        <f t="shared" si="18"/>
        <v>3075</v>
      </c>
      <c r="Y19" s="134">
        <f t="shared" si="18"/>
        <v>182</v>
      </c>
      <c r="Z19" s="134">
        <f t="shared" si="18"/>
        <v>195</v>
      </c>
      <c r="AA19" s="134">
        <f t="shared" si="18"/>
        <v>188</v>
      </c>
      <c r="AB19" s="134">
        <f t="shared" si="18"/>
        <v>189</v>
      </c>
      <c r="AC19" s="134">
        <f t="shared" si="18"/>
        <v>3</v>
      </c>
      <c r="AD19" s="134">
        <f t="shared" si="18"/>
        <v>104</v>
      </c>
      <c r="AE19" s="134">
        <f t="shared" si="18"/>
        <v>69</v>
      </c>
      <c r="AF19" s="134">
        <f t="shared" si="18"/>
        <v>38</v>
      </c>
      <c r="AG19" s="134">
        <f t="shared" si="18"/>
        <v>258</v>
      </c>
      <c r="AH19" s="134">
        <f t="shared" si="18"/>
        <v>241</v>
      </c>
      <c r="AI19" s="134">
        <f t="shared" si="18"/>
        <v>279</v>
      </c>
      <c r="AJ19" s="134">
        <f t="shared" si="18"/>
        <v>220</v>
      </c>
      <c r="AK19" s="134">
        <f t="shared" si="18"/>
        <v>0</v>
      </c>
      <c r="AL19" s="134">
        <f t="shared" si="18"/>
        <v>50</v>
      </c>
      <c r="AM19" s="134">
        <f t="shared" si="18"/>
        <v>48</v>
      </c>
      <c r="AN19" s="210">
        <f t="shared" si="18"/>
        <v>2</v>
      </c>
      <c r="AO19" s="211">
        <v>11</v>
      </c>
      <c r="AP19" s="211">
        <v>11</v>
      </c>
      <c r="AQ19" s="211">
        <v>11</v>
      </c>
      <c r="AR19" s="211">
        <v>11</v>
      </c>
      <c r="AS19" s="153">
        <f t="shared" si="18"/>
        <v>0</v>
      </c>
      <c r="AT19" s="153">
        <f t="shared" si="18"/>
        <v>0</v>
      </c>
      <c r="AU19" s="211"/>
      <c r="AV19" s="212"/>
      <c r="AW19" s="211"/>
      <c r="AX19" s="212"/>
      <c r="AY19" s="133">
        <f>SUBTOTAL(9,AY9:AY18)</f>
        <v>9545</v>
      </c>
      <c r="AZ19" s="134">
        <f>SUBTOTAL(9,AZ9:AZ18)</f>
        <v>5253</v>
      </c>
      <c r="BA19" s="134">
        <f>SUBTOTAL(9,BA9:BA18)</f>
        <v>4928</v>
      </c>
      <c r="BB19" s="134">
        <f>SUBTOTAL(9,BB9:BB18)</f>
        <v>10098</v>
      </c>
      <c r="BC19" s="135">
        <f>SUBTOTAL(9,BC9:BC18)</f>
        <v>1907</v>
      </c>
      <c r="BD19" s="213">
        <f>IF(ISNUMBER(BA19/AZ19),BA19/AZ19," - ")</f>
        <v>0.93813059204264226</v>
      </c>
      <c r="BE19" s="210">
        <f>IF(ISNUMBER(BB19/BA19),BB19/BA19, " - ")</f>
        <v>2.0491071428571428</v>
      </c>
      <c r="BF19" s="210">
        <f>IF(ISNUMBER(BC19/BA19),BC19/BA19, " - ")</f>
        <v>0.38697240259740262</v>
      </c>
      <c r="BG19" s="135">
        <f>IF(ISNUMBER((AY19+AZ19)/BA19),(AY19+AZ19)/BA19," - ")</f>
        <v>3.0028409090909092</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swmPOzT4Q7NcURYtDteWN+DrjJVSuDJAghF4hZug6M3RiDZ8LsfQtba9c/3boiPHu/b7zEqUcFsNxe4U2+b3w==" saltValue="Jk/ZNGPlsXxDHqgK8ZNnv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476</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612</v>
      </c>
      <c r="ED5" s="1465" t="s">
        <v>582</v>
      </c>
      <c r="EE5" s="1465" t="s">
        <v>615</v>
      </c>
      <c r="EF5" s="1465" t="s">
        <v>616</v>
      </c>
      <c r="EG5" s="1468" t="s">
        <v>617</v>
      </c>
      <c r="EH5" s="1468" t="s">
        <v>618</v>
      </c>
      <c r="EI5" s="1468" t="s">
        <v>584</v>
      </c>
      <c r="EJ5" s="1468" t="s">
        <v>585</v>
      </c>
      <c r="EK5" s="1489" t="s">
        <v>662</v>
      </c>
      <c r="EL5" s="1480" t="s">
        <v>678</v>
      </c>
      <c r="EM5" s="1481"/>
      <c r="EN5" s="1482"/>
      <c r="EO5" s="1381" t="s">
        <v>735</v>
      </c>
      <c r="EP5" s="1381" t="s">
        <v>737</v>
      </c>
      <c r="EQ5" s="1381" t="s">
        <v>738</v>
      </c>
      <c r="ER5" s="1381" t="s">
        <v>743</v>
      </c>
      <c r="ES5" s="1381" t="s">
        <v>748</v>
      </c>
      <c r="ET5" s="1474" t="s">
        <v>812</v>
      </c>
      <c r="EU5" s="1474" t="s">
        <v>813</v>
      </c>
      <c r="EV5" s="1384" t="s">
        <v>829</v>
      </c>
      <c r="EW5" s="1468" t="s">
        <v>832</v>
      </c>
      <c r="EX5" s="1375" t="s">
        <v>846</v>
      </c>
      <c r="EY5" s="1363" t="s">
        <v>851</v>
      </c>
      <c r="EZ5" s="1360" t="s">
        <v>899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734</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679</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0"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470" t="s">
        <v>680</v>
      </c>
      <c r="EM8" s="470" t="s">
        <v>681</v>
      </c>
      <c r="EN8" s="470" t="s">
        <v>682</v>
      </c>
      <c r="EO8" s="50" t="s">
        <v>736</v>
      </c>
      <c r="EP8" s="50" t="s">
        <v>741</v>
      </c>
      <c r="EQ8" s="50" t="s">
        <v>742</v>
      </c>
      <c r="ER8" s="470">
        <v>148</v>
      </c>
      <c r="ES8" s="470" t="s">
        <v>749</v>
      </c>
      <c r="ET8" s="1141" t="s">
        <v>814</v>
      </c>
      <c r="EU8" s="1141" t="s">
        <v>815</v>
      </c>
      <c r="EV8" s="1141" t="s">
        <v>823</v>
      </c>
      <c r="EW8" s="470" t="s">
        <v>831</v>
      </c>
      <c r="EX8" s="470" t="s">
        <v>845</v>
      </c>
      <c r="EY8" s="470" t="s">
        <v>850</v>
      </c>
      <c r="EZ8" s="470" t="s">
        <v>900</v>
      </c>
    </row>
    <row r="9" spans="1:156" ht="14.25" customHeight="1">
      <c r="A9" s="20" t="s">
        <v>45</v>
      </c>
      <c r="B9" s="21" t="s">
        <v>402</v>
      </c>
      <c r="C9" s="22" t="s">
        <v>3</v>
      </c>
      <c r="D9" s="23" t="s">
        <v>20</v>
      </c>
      <c r="E9" s="21" t="s">
        <v>21</v>
      </c>
      <c r="F9" s="21">
        <v>32</v>
      </c>
      <c r="G9" s="6"/>
      <c r="H9" s="136" t="s">
        <v>245</v>
      </c>
      <c r="I9" s="1179" t="s">
        <v>878</v>
      </c>
      <c r="J9" s="1178" t="s">
        <v>879</v>
      </c>
      <c r="K9" s="1178" t="s">
        <v>880</v>
      </c>
      <c r="L9" s="1178" t="s">
        <v>881</v>
      </c>
      <c r="M9" s="57" t="s">
        <v>849</v>
      </c>
      <c r="N9" s="57" t="s">
        <v>852</v>
      </c>
      <c r="O9" s="57" t="s">
        <v>323</v>
      </c>
      <c r="P9" s="57" t="s">
        <v>371</v>
      </c>
      <c r="Q9" s="57" t="s">
        <v>372</v>
      </c>
      <c r="R9" s="57" t="s">
        <v>373</v>
      </c>
      <c r="S9" s="57"/>
      <c r="T9" s="57"/>
      <c r="U9" s="57"/>
      <c r="V9" s="57"/>
      <c r="W9" s="57"/>
      <c r="X9" s="61"/>
      <c r="Y9" s="1182" t="s">
        <v>875</v>
      </c>
      <c r="Z9" s="1178" t="s">
        <v>874</v>
      </c>
      <c r="AA9" s="1178" t="s">
        <v>876</v>
      </c>
      <c r="AB9" s="1178" t="s">
        <v>877</v>
      </c>
      <c r="AC9" s="57"/>
      <c r="AD9" s="57"/>
      <c r="AE9" s="57"/>
      <c r="AF9" s="61"/>
      <c r="AG9" s="62"/>
      <c r="AH9" s="57"/>
      <c r="AI9" s="57"/>
      <c r="AJ9" s="63"/>
      <c r="AK9" s="58"/>
      <c r="AL9" s="57"/>
      <c r="AM9" s="57"/>
      <c r="AN9" s="61"/>
      <c r="AO9" s="64"/>
      <c r="AP9" s="64"/>
      <c r="AQ9" s="64"/>
      <c r="AR9" s="60"/>
      <c r="AS9" s="317" t="s">
        <v>858</v>
      </c>
      <c r="AT9" s="195"/>
      <c r="AU9" s="317" t="s">
        <v>801</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491</v>
      </c>
      <c r="BW9" s="156" t="s">
        <v>303</v>
      </c>
      <c r="BX9" s="156" t="s">
        <v>304</v>
      </c>
      <c r="BY9" s="156" t="s">
        <v>891</v>
      </c>
      <c r="BZ9" s="156" t="s">
        <v>478</v>
      </c>
      <c r="CA9" s="156" t="s">
        <v>412</v>
      </c>
      <c r="CB9" s="156" t="s">
        <v>413</v>
      </c>
      <c r="CC9" s="156" t="s">
        <v>414</v>
      </c>
      <c r="CD9" s="156" t="s">
        <v>415</v>
      </c>
      <c r="CE9" s="156"/>
      <c r="CF9" s="156"/>
      <c r="CG9" s="156"/>
      <c r="CH9" s="156"/>
      <c r="CI9" s="156" t="s">
        <v>498</v>
      </c>
      <c r="CJ9" s="156" t="s">
        <v>416</v>
      </c>
      <c r="CK9" s="156" t="s">
        <v>485</v>
      </c>
      <c r="CL9" s="156" t="s">
        <v>487</v>
      </c>
      <c r="CM9" s="156" t="s">
        <v>489</v>
      </c>
      <c r="CN9" s="156">
        <v>1088</v>
      </c>
      <c r="CO9" s="156">
        <v>720</v>
      </c>
      <c r="CP9" s="156">
        <v>1088</v>
      </c>
      <c r="CQ9" s="289" t="s">
        <v>892</v>
      </c>
      <c r="CR9" s="289" t="s">
        <v>479</v>
      </c>
      <c r="CS9" s="156"/>
      <c r="CT9" s="156"/>
      <c r="CU9" s="156"/>
      <c r="CV9" s="156" t="s">
        <v>496</v>
      </c>
      <c r="CW9" s="156" t="s">
        <v>411</v>
      </c>
      <c r="CX9" s="156" t="s">
        <v>343</v>
      </c>
      <c r="CY9" s="156" t="s">
        <v>439</v>
      </c>
      <c r="CZ9" s="156" t="s">
        <v>440</v>
      </c>
      <c r="DA9" s="156" t="s">
        <v>441</v>
      </c>
      <c r="DB9" s="317" t="s">
        <v>859</v>
      </c>
      <c r="DC9" s="317" t="s">
        <v>860</v>
      </c>
      <c r="DD9" s="156"/>
      <c r="DE9" s="156" t="s">
        <v>241</v>
      </c>
      <c r="DF9" s="156"/>
      <c r="DG9" s="156" t="s">
        <v>445</v>
      </c>
      <c r="DH9" s="156" t="s">
        <v>493</v>
      </c>
      <c r="DI9" s="156" t="s">
        <v>494</v>
      </c>
      <c r="DJ9" s="156" t="s">
        <v>495</v>
      </c>
      <c r="DK9" s="156"/>
      <c r="DL9" s="156"/>
      <c r="DM9" s="156"/>
      <c r="DN9" s="156"/>
      <c r="DO9" s="156"/>
      <c r="DP9" s="156"/>
      <c r="DQ9" s="156"/>
      <c r="DR9" s="156"/>
      <c r="DS9" s="156"/>
      <c r="DT9" s="156"/>
      <c r="DU9" s="156" t="s">
        <v>669</v>
      </c>
      <c r="DV9" s="156" t="s">
        <v>664</v>
      </c>
      <c r="DW9" s="156" t="s">
        <v>665</v>
      </c>
      <c r="DX9" s="156" t="s">
        <v>666</v>
      </c>
      <c r="DY9" s="156" t="s">
        <v>667</v>
      </c>
      <c r="DZ9" s="156"/>
      <c r="EA9" s="156"/>
      <c r="EB9" s="156"/>
      <c r="EC9" s="156"/>
      <c r="ED9" s="156"/>
      <c r="EE9" s="156"/>
      <c r="EF9" s="156"/>
      <c r="EG9" s="156"/>
      <c r="EH9" s="156"/>
      <c r="EI9" s="156"/>
      <c r="EJ9" s="156"/>
      <c r="EK9" s="156"/>
      <c r="EL9" s="289" t="s">
        <v>788</v>
      </c>
      <c r="EM9" s="289" t="s">
        <v>789</v>
      </c>
      <c r="EN9" s="156" t="s">
        <v>787</v>
      </c>
      <c r="EO9" s="989" t="s">
        <v>861</v>
      </c>
      <c r="EP9" s="989" t="s">
        <v>866</v>
      </c>
      <c r="EQ9" s="989" t="s">
        <v>868</v>
      </c>
      <c r="ER9" s="1000">
        <v>1200</v>
      </c>
      <c r="ES9" s="997"/>
      <c r="ET9" s="1142"/>
      <c r="EU9" s="1142"/>
      <c r="EV9" s="156" t="s">
        <v>826</v>
      </c>
      <c r="EW9" s="156"/>
      <c r="EX9" s="156"/>
      <c r="EY9" s="156"/>
      <c r="EZ9" s="156"/>
    </row>
    <row r="10" spans="1:156" ht="14.25" customHeight="1">
      <c r="A10" s="137" t="s">
        <v>143</v>
      </c>
      <c r="B10" s="21" t="s">
        <v>402</v>
      </c>
      <c r="C10" s="22" t="s">
        <v>3</v>
      </c>
      <c r="D10" s="23" t="s">
        <v>82</v>
      </c>
      <c r="E10" s="21" t="s">
        <v>82</v>
      </c>
      <c r="F10" s="21" t="s">
        <v>138</v>
      </c>
      <c r="G10" s="6"/>
      <c r="H10" s="136"/>
      <c r="I10" s="1180" t="s">
        <v>512</v>
      </c>
      <c r="J10" s="1181" t="s">
        <v>510</v>
      </c>
      <c r="K10" s="1181" t="s">
        <v>511</v>
      </c>
      <c r="L10" s="1181" t="s">
        <v>516</v>
      </c>
      <c r="M10" s="57" t="s">
        <v>505</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750</v>
      </c>
      <c r="AT10" s="63"/>
      <c r="AU10" s="148" t="s">
        <v>751</v>
      </c>
      <c r="AV10" s="63"/>
      <c r="AW10" s="148" t="s">
        <v>752</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753</v>
      </c>
      <c r="BZ10" s="154"/>
      <c r="CA10" s="154"/>
      <c r="CB10" s="154"/>
      <c r="CC10" s="154"/>
      <c r="CD10" s="154"/>
      <c r="CE10" s="154"/>
      <c r="CF10" s="154"/>
      <c r="CG10" s="154"/>
      <c r="CH10" s="154"/>
      <c r="CI10" s="154" t="s">
        <v>500</v>
      </c>
      <c r="CJ10" s="154" t="s">
        <v>300</v>
      </c>
      <c r="CK10" s="154" t="s">
        <v>459</v>
      </c>
      <c r="CL10" s="154" t="s">
        <v>460</v>
      </c>
      <c r="CM10" s="154" t="s">
        <v>461</v>
      </c>
      <c r="CN10" s="154">
        <v>1175</v>
      </c>
      <c r="CO10" s="154">
        <v>0</v>
      </c>
      <c r="CP10" s="289" t="s">
        <v>418</v>
      </c>
      <c r="CQ10" s="154" t="s">
        <v>754</v>
      </c>
      <c r="CR10" s="154"/>
      <c r="CS10" s="154"/>
      <c r="CT10" s="156"/>
      <c r="CU10" s="156"/>
      <c r="CV10" s="156" t="s">
        <v>315</v>
      </c>
      <c r="CW10" s="156" t="s">
        <v>339</v>
      </c>
      <c r="CX10" s="156" t="s">
        <v>342</v>
      </c>
      <c r="CY10" s="156" t="s">
        <v>501</v>
      </c>
      <c r="CZ10" s="156" t="s">
        <v>502</v>
      </c>
      <c r="DA10" s="156" t="s">
        <v>503</v>
      </c>
      <c r="DB10" s="320" t="s">
        <v>513</v>
      </c>
      <c r="DC10" s="319"/>
      <c r="DD10" s="156"/>
      <c r="DE10" s="156" t="s">
        <v>242</v>
      </c>
      <c r="DF10" s="156"/>
      <c r="DG10" s="156" t="s">
        <v>504</v>
      </c>
      <c r="DH10" s="154" t="s">
        <v>432</v>
      </c>
      <c r="DI10" s="154" t="s">
        <v>430</v>
      </c>
      <c r="DJ10" s="154" t="s">
        <v>431</v>
      </c>
      <c r="DK10" s="154"/>
      <c r="DL10" s="154"/>
      <c r="DM10" s="289"/>
      <c r="DN10" s="289"/>
      <c r="DO10" s="289"/>
      <c r="DP10" s="289"/>
      <c r="DQ10" s="289"/>
      <c r="DR10" s="289"/>
      <c r="DS10" s="289"/>
      <c r="DT10" s="289"/>
      <c r="DU10" s="155" t="s">
        <v>602</v>
      </c>
      <c r="DV10" s="289" t="s">
        <v>716</v>
      </c>
      <c r="DW10" s="289" t="s">
        <v>713</v>
      </c>
      <c r="DX10" s="289" t="s">
        <v>714</v>
      </c>
      <c r="DY10" s="289" t="s">
        <v>715</v>
      </c>
      <c r="DZ10" s="289"/>
      <c r="EA10" s="289"/>
      <c r="EB10" s="289"/>
      <c r="EC10" s="289"/>
      <c r="ED10" s="289"/>
      <c r="EE10" s="289"/>
      <c r="EF10" s="289"/>
      <c r="EG10" s="289"/>
      <c r="EH10" s="289"/>
      <c r="EI10" s="289"/>
      <c r="EJ10" s="289"/>
      <c r="EK10" s="289"/>
      <c r="EL10" s="289"/>
      <c r="EM10" s="289"/>
      <c r="EN10" s="289"/>
      <c r="EO10" s="320" t="s">
        <v>759</v>
      </c>
      <c r="EP10" s="320" t="s">
        <v>760</v>
      </c>
      <c r="EQ10" s="320" t="s">
        <v>761</v>
      </c>
      <c r="ER10" s="1001">
        <v>1600</v>
      </c>
      <c r="ES10" s="339"/>
      <c r="ET10" s="1142"/>
      <c r="EU10" s="1142"/>
      <c r="EV10" s="156" t="s">
        <v>828</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882</v>
      </c>
      <c r="J11" s="1177" t="s">
        <v>883</v>
      </c>
      <c r="K11" s="1177" t="s">
        <v>884</v>
      </c>
      <c r="L11" s="1177" t="s">
        <v>885</v>
      </c>
      <c r="M11" s="26" t="s">
        <v>483</v>
      </c>
      <c r="N11" s="26" t="s">
        <v>38</v>
      </c>
      <c r="O11" s="57" t="s">
        <v>224</v>
      </c>
      <c r="P11" s="26" t="s">
        <v>39</v>
      </c>
      <c r="Q11" s="26" t="s">
        <v>40</v>
      </c>
      <c r="R11" s="26" t="s">
        <v>91</v>
      </c>
      <c r="S11" s="26"/>
      <c r="T11" s="26"/>
      <c r="U11" s="26"/>
      <c r="V11" s="26"/>
      <c r="W11" s="26"/>
      <c r="X11" s="52"/>
      <c r="Y11" s="1182" t="s">
        <v>875</v>
      </c>
      <c r="Z11" s="1178" t="s">
        <v>890</v>
      </c>
      <c r="AA11" s="1178" t="s">
        <v>876</v>
      </c>
      <c r="AB11" s="1178" t="s">
        <v>877</v>
      </c>
      <c r="AC11" s="26"/>
      <c r="AD11" s="26"/>
      <c r="AE11" s="26"/>
      <c r="AF11" s="52"/>
      <c r="AG11" s="49"/>
      <c r="AH11" s="26"/>
      <c r="AI11" s="26"/>
      <c r="AJ11" s="27"/>
      <c r="AK11" s="25"/>
      <c r="AL11" s="26"/>
      <c r="AM11" s="26"/>
      <c r="AN11" s="52"/>
      <c r="AO11" s="59"/>
      <c r="AP11" s="59"/>
      <c r="AQ11" s="59"/>
      <c r="AR11" s="64"/>
      <c r="AS11" s="49" t="s">
        <v>796</v>
      </c>
      <c r="AT11" s="27"/>
      <c r="AU11" s="49" t="s">
        <v>802</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490</v>
      </c>
      <c r="BW11" s="156" t="s">
        <v>254</v>
      </c>
      <c r="BX11" s="156" t="s">
        <v>255</v>
      </c>
      <c r="BY11" s="157" t="s">
        <v>865</v>
      </c>
      <c r="BZ11" s="156" t="s">
        <v>897</v>
      </c>
      <c r="CA11" s="156" t="s">
        <v>290</v>
      </c>
      <c r="CB11" s="156" t="s">
        <v>285</v>
      </c>
      <c r="CC11" s="156" t="s">
        <v>286</v>
      </c>
      <c r="CD11" s="156" t="s">
        <v>287</v>
      </c>
      <c r="CE11" s="157"/>
      <c r="CF11" s="157"/>
      <c r="CG11" s="157"/>
      <c r="CH11" s="157"/>
      <c r="CI11" s="157" t="s">
        <v>480</v>
      </c>
      <c r="CJ11" s="157" t="s">
        <v>298</v>
      </c>
      <c r="CK11" s="156" t="s">
        <v>484</v>
      </c>
      <c r="CL11" s="156" t="s">
        <v>486</v>
      </c>
      <c r="CM11" s="156" t="s">
        <v>488</v>
      </c>
      <c r="CN11" s="156">
        <v>1088</v>
      </c>
      <c r="CO11" s="157">
        <v>1000</v>
      </c>
      <c r="CP11" s="156">
        <v>1088</v>
      </c>
      <c r="CQ11" s="156" t="s">
        <v>842</v>
      </c>
      <c r="CR11" s="156" t="s">
        <v>898</v>
      </c>
      <c r="CS11" s="157"/>
      <c r="CT11" s="156"/>
      <c r="CU11" s="156"/>
      <c r="CV11" s="156" t="s">
        <v>496</v>
      </c>
      <c r="CW11" s="156" t="s">
        <v>336</v>
      </c>
      <c r="CX11" s="156" t="s">
        <v>343</v>
      </c>
      <c r="CY11" s="156" t="s">
        <v>439</v>
      </c>
      <c r="CZ11" s="156" t="s">
        <v>440</v>
      </c>
      <c r="DA11" s="156" t="s">
        <v>441</v>
      </c>
      <c r="DB11" s="147" t="s">
        <v>853</v>
      </c>
      <c r="DC11" s="147" t="s">
        <v>854</v>
      </c>
      <c r="DD11" s="156"/>
      <c r="DE11" s="156" t="s">
        <v>243</v>
      </c>
      <c r="DF11" s="156"/>
      <c r="DG11" s="156" t="s">
        <v>445</v>
      </c>
      <c r="DH11" s="156" t="s">
        <v>493</v>
      </c>
      <c r="DI11" s="156" t="s">
        <v>494</v>
      </c>
      <c r="DJ11" s="156" t="s">
        <v>495</v>
      </c>
      <c r="DK11" s="156"/>
      <c r="DL11" s="156"/>
      <c r="DM11" s="289"/>
      <c r="DN11" s="289"/>
      <c r="DO11" s="289"/>
      <c r="DP11" s="289"/>
      <c r="DQ11" s="289"/>
      <c r="DR11" s="289"/>
      <c r="DS11" s="289"/>
      <c r="DT11" s="289"/>
      <c r="DU11" s="289" t="s">
        <v>669</v>
      </c>
      <c r="DV11" s="289" t="s">
        <v>664</v>
      </c>
      <c r="DW11" s="289" t="s">
        <v>665</v>
      </c>
      <c r="DX11" s="289" t="s">
        <v>666</v>
      </c>
      <c r="DY11" s="289" t="s">
        <v>667</v>
      </c>
      <c r="DZ11" s="289"/>
      <c r="EA11" s="289"/>
      <c r="EB11" s="289"/>
      <c r="EC11" s="289"/>
      <c r="ED11" s="289"/>
      <c r="EE11" s="289"/>
      <c r="EF11" s="289"/>
      <c r="EG11" s="289"/>
      <c r="EH11" s="289"/>
      <c r="EI11" s="289"/>
      <c r="EJ11" s="289"/>
      <c r="EK11" s="289"/>
      <c r="EL11" s="289"/>
      <c r="EM11" s="289"/>
      <c r="EN11" s="289"/>
      <c r="EO11" s="988" t="s">
        <v>862</v>
      </c>
      <c r="EP11" s="988" t="s">
        <v>843</v>
      </c>
      <c r="EQ11" s="988" t="s">
        <v>844</v>
      </c>
      <c r="ER11" s="1002">
        <v>1323</v>
      </c>
      <c r="ES11" s="998"/>
      <c r="ET11" s="1142"/>
      <c r="EU11" s="1142"/>
      <c r="EV11" s="156" t="s">
        <v>825</v>
      </c>
      <c r="EW11" s="289"/>
      <c r="EX11" s="289"/>
      <c r="EY11" s="289"/>
      <c r="EZ11" s="289"/>
    </row>
    <row r="12" spans="1:156" ht="14.25" customHeight="1">
      <c r="A12" s="20" t="s">
        <v>404</v>
      </c>
      <c r="B12" s="21" t="s">
        <v>402</v>
      </c>
      <c r="C12" s="22" t="s">
        <v>3</v>
      </c>
      <c r="D12" s="23" t="s">
        <v>20</v>
      </c>
      <c r="E12" s="21" t="s">
        <v>20</v>
      </c>
      <c r="F12" s="21">
        <v>31</v>
      </c>
      <c r="G12" s="6"/>
      <c r="H12" s="29"/>
      <c r="I12" s="1176" t="s">
        <v>886</v>
      </c>
      <c r="J12" s="1177" t="s">
        <v>887</v>
      </c>
      <c r="K12" s="1177" t="s">
        <v>888</v>
      </c>
      <c r="L12" s="1177" t="s">
        <v>889</v>
      </c>
      <c r="M12" s="26" t="s">
        <v>848</v>
      </c>
      <c r="N12" s="26" t="s">
        <v>38</v>
      </c>
      <c r="O12" s="57" t="s">
        <v>224</v>
      </c>
      <c r="P12" s="26" t="s">
        <v>381</v>
      </c>
      <c r="Q12" s="26" t="s">
        <v>382</v>
      </c>
      <c r="R12" s="26" t="s">
        <v>383</v>
      </c>
      <c r="S12" s="26"/>
      <c r="T12" s="26"/>
      <c r="U12" s="26"/>
      <c r="V12" s="26"/>
      <c r="W12" s="26"/>
      <c r="X12" s="52"/>
      <c r="Y12" s="1182" t="s">
        <v>875</v>
      </c>
      <c r="Z12" s="1178" t="s">
        <v>874</v>
      </c>
      <c r="AA12" s="1178" t="s">
        <v>876</v>
      </c>
      <c r="AB12" s="1178" t="s">
        <v>877</v>
      </c>
      <c r="AC12" s="26"/>
      <c r="AD12" s="26"/>
      <c r="AE12" s="26"/>
      <c r="AF12" s="52"/>
      <c r="AG12" s="49"/>
      <c r="AH12" s="26"/>
      <c r="AI12" s="26"/>
      <c r="AJ12" s="27"/>
      <c r="AK12" s="25"/>
      <c r="AL12" s="26"/>
      <c r="AM12" s="26"/>
      <c r="AN12" s="52"/>
      <c r="AO12" s="59"/>
      <c r="AP12" s="59"/>
      <c r="AQ12" s="59"/>
      <c r="AR12" s="64"/>
      <c r="AS12" s="49" t="s">
        <v>855</v>
      </c>
      <c r="AT12" s="27"/>
      <c r="AU12" s="49" t="s">
        <v>799</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492</v>
      </c>
      <c r="BW12" s="156" t="s">
        <v>384</v>
      </c>
      <c r="BX12" s="156" t="s">
        <v>385</v>
      </c>
      <c r="BY12" s="157" t="s">
        <v>893</v>
      </c>
      <c r="BZ12" s="156"/>
      <c r="CA12" s="156" t="s">
        <v>290</v>
      </c>
      <c r="CB12" s="156" t="s">
        <v>285</v>
      </c>
      <c r="CC12" s="156" t="s">
        <v>286</v>
      </c>
      <c r="CD12" s="156" t="s">
        <v>287</v>
      </c>
      <c r="CE12" s="157"/>
      <c r="CF12" s="157"/>
      <c r="CG12" s="157"/>
      <c r="CH12" s="157"/>
      <c r="CI12" s="157" t="s">
        <v>480</v>
      </c>
      <c r="CJ12" s="157" t="s">
        <v>298</v>
      </c>
      <c r="CK12" s="156" t="s">
        <v>485</v>
      </c>
      <c r="CL12" s="156" t="s">
        <v>487</v>
      </c>
      <c r="CM12" s="156" t="s">
        <v>489</v>
      </c>
      <c r="CN12" s="289" t="s">
        <v>332</v>
      </c>
      <c r="CO12" s="157">
        <v>2880</v>
      </c>
      <c r="CP12" s="289" t="s">
        <v>307</v>
      </c>
      <c r="CQ12" s="289" t="s">
        <v>894</v>
      </c>
      <c r="CR12" s="289"/>
      <c r="CS12" s="157"/>
      <c r="CT12" s="156"/>
      <c r="CU12" s="156"/>
      <c r="CV12" s="156" t="s">
        <v>496</v>
      </c>
      <c r="CW12" s="156" t="s">
        <v>336</v>
      </c>
      <c r="CX12" s="156" t="s">
        <v>343</v>
      </c>
      <c r="CY12" s="156" t="s">
        <v>439</v>
      </c>
      <c r="CZ12" s="156" t="s">
        <v>440</v>
      </c>
      <c r="DA12" s="156" t="s">
        <v>441</v>
      </c>
      <c r="DB12" s="317" t="s">
        <v>856</v>
      </c>
      <c r="DC12" s="317" t="s">
        <v>857</v>
      </c>
      <c r="DD12" s="156"/>
      <c r="DE12" s="156" t="s">
        <v>244</v>
      </c>
      <c r="DF12" s="156"/>
      <c r="DG12" s="156" t="s">
        <v>445</v>
      </c>
      <c r="DH12" s="156" t="s">
        <v>493</v>
      </c>
      <c r="DI12" s="156" t="s">
        <v>494</v>
      </c>
      <c r="DJ12" s="156" t="s">
        <v>495</v>
      </c>
      <c r="DK12" s="156"/>
      <c r="DL12" s="156"/>
      <c r="DM12" s="289"/>
      <c r="DN12" s="289"/>
      <c r="DO12" s="289"/>
      <c r="DP12" s="289"/>
      <c r="DQ12" s="289"/>
      <c r="DR12" s="289"/>
      <c r="DS12" s="289"/>
      <c r="DT12" s="289"/>
      <c r="DU12" s="289" t="s">
        <v>669</v>
      </c>
      <c r="DV12" s="289" t="s">
        <v>664</v>
      </c>
      <c r="DW12" s="289" t="s">
        <v>665</v>
      </c>
      <c r="DX12" s="289" t="s">
        <v>666</v>
      </c>
      <c r="DY12" s="289" t="s">
        <v>667</v>
      </c>
      <c r="DZ12" s="289"/>
      <c r="EA12" s="289"/>
      <c r="EB12" s="289"/>
      <c r="EC12" s="289"/>
      <c r="ED12" s="289"/>
      <c r="EE12" s="289"/>
      <c r="EF12" s="289"/>
      <c r="EG12" s="289"/>
      <c r="EH12" s="289"/>
      <c r="EI12" s="289"/>
      <c r="EJ12" s="289"/>
      <c r="EK12" s="289"/>
      <c r="EL12" s="289" t="s">
        <v>788</v>
      </c>
      <c r="EM12" s="289" t="s">
        <v>789</v>
      </c>
      <c r="EN12" s="156" t="s">
        <v>787</v>
      </c>
      <c r="EO12" s="989" t="s">
        <v>864</v>
      </c>
      <c r="EP12" s="989" t="s">
        <v>867</v>
      </c>
      <c r="EQ12" s="989" t="s">
        <v>869</v>
      </c>
      <c r="ER12" s="1000">
        <v>680</v>
      </c>
      <c r="ES12" s="999"/>
      <c r="ET12" s="1142"/>
      <c r="EU12" s="1142"/>
      <c r="EV12" s="156" t="s">
        <v>825</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508</v>
      </c>
      <c r="J15" s="26" t="s">
        <v>767</v>
      </c>
      <c r="K15" s="26" t="s">
        <v>775</v>
      </c>
      <c r="L15" s="26" t="s">
        <v>780</v>
      </c>
      <c r="M15" s="26" t="s">
        <v>507</v>
      </c>
      <c r="N15" s="26" t="s">
        <v>324</v>
      </c>
      <c r="O15" s="57" t="s">
        <v>325</v>
      </c>
      <c r="P15" s="26" t="s">
        <v>470</v>
      </c>
      <c r="Q15" s="26" t="s">
        <v>471</v>
      </c>
      <c r="R15" s="26" t="s">
        <v>472</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733</v>
      </c>
      <c r="AT15" s="27" t="s">
        <v>727</v>
      </c>
      <c r="AU15" s="49" t="s">
        <v>517</v>
      </c>
      <c r="AV15" s="27" t="s">
        <v>728</v>
      </c>
      <c r="AW15" s="49" t="s">
        <v>518</v>
      </c>
      <c r="AX15" s="27" t="s">
        <v>729</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755</v>
      </c>
      <c r="BZ15" s="214" t="s">
        <v>895</v>
      </c>
      <c r="CA15" s="155"/>
      <c r="CB15" s="155"/>
      <c r="CC15" s="155"/>
      <c r="CD15" s="155"/>
      <c r="CE15" s="155"/>
      <c r="CF15" s="155"/>
      <c r="CG15" s="155"/>
      <c r="CH15" s="155"/>
      <c r="CI15" s="155" t="s">
        <v>482</v>
      </c>
      <c r="CJ15" s="155" t="s">
        <v>397</v>
      </c>
      <c r="CK15" s="155" t="s">
        <v>462</v>
      </c>
      <c r="CL15" s="155" t="s">
        <v>463</v>
      </c>
      <c r="CM15" s="155" t="s">
        <v>464</v>
      </c>
      <c r="CN15" s="155">
        <v>1262</v>
      </c>
      <c r="CO15" s="155">
        <v>6600</v>
      </c>
      <c r="CP15" s="155">
        <v>1262</v>
      </c>
      <c r="CQ15" s="214" t="s">
        <v>509</v>
      </c>
      <c r="CR15" s="214" t="s">
        <v>896</v>
      </c>
      <c r="CS15" s="155" t="s">
        <v>389</v>
      </c>
      <c r="CT15" s="156"/>
      <c r="CU15" s="156"/>
      <c r="CV15" s="156" t="s">
        <v>374</v>
      </c>
      <c r="CW15" s="156" t="s">
        <v>337</v>
      </c>
      <c r="CX15" s="156" t="s">
        <v>159</v>
      </c>
      <c r="CY15" s="156"/>
      <c r="CZ15" s="156"/>
      <c r="DA15" s="156"/>
      <c r="DB15" s="147" t="s">
        <v>768</v>
      </c>
      <c r="DC15" s="147" t="s">
        <v>769</v>
      </c>
      <c r="DD15" s="156"/>
      <c r="DE15" s="156" t="s">
        <v>515</v>
      </c>
      <c r="DF15" s="156" t="s">
        <v>410</v>
      </c>
      <c r="DG15" s="156"/>
      <c r="DH15" s="155" t="s">
        <v>427</v>
      </c>
      <c r="DI15" s="155" t="s">
        <v>428</v>
      </c>
      <c r="DJ15" s="155" t="s">
        <v>429</v>
      </c>
      <c r="DK15" s="155"/>
      <c r="DL15" s="155"/>
      <c r="DM15" s="155"/>
      <c r="DN15" s="155"/>
      <c r="DO15" s="155"/>
      <c r="DP15" s="155"/>
      <c r="DQ15" s="155"/>
      <c r="DR15" s="155"/>
      <c r="DS15" s="155"/>
      <c r="DT15" s="155"/>
      <c r="DU15" s="155" t="s">
        <v>601</v>
      </c>
      <c r="DV15" s="155"/>
      <c r="DW15" s="155"/>
      <c r="DX15" s="155"/>
      <c r="DY15" s="155"/>
      <c r="DZ15" s="155"/>
      <c r="EA15" s="155"/>
      <c r="EB15" s="155" t="s">
        <v>732</v>
      </c>
      <c r="EC15" s="155" t="s">
        <v>609</v>
      </c>
      <c r="ED15" s="155"/>
      <c r="EE15" s="155">
        <v>6000</v>
      </c>
      <c r="EF15" s="155">
        <v>650</v>
      </c>
      <c r="EG15" s="155"/>
      <c r="EH15" s="155"/>
      <c r="EI15" s="155" t="s">
        <v>610</v>
      </c>
      <c r="EJ15" s="155"/>
      <c r="EK15" s="155"/>
      <c r="EL15" s="155"/>
      <c r="EM15" s="155"/>
      <c r="EN15" s="155"/>
      <c r="EO15" s="988" t="s">
        <v>797</v>
      </c>
      <c r="EP15" s="988" t="s">
        <v>800</v>
      </c>
      <c r="EQ15" s="988" t="s">
        <v>807</v>
      </c>
      <c r="ER15" s="1003" t="s">
        <v>758</v>
      </c>
      <c r="ES15" s="998"/>
      <c r="ET15" s="1142"/>
      <c r="EU15" s="1142"/>
      <c r="EV15" s="156" t="s">
        <v>824</v>
      </c>
      <c r="EW15" s="155"/>
      <c r="EX15" s="155"/>
      <c r="EY15" s="155"/>
      <c r="EZ15" s="155"/>
    </row>
    <row r="16" spans="1:156" ht="14.25" customHeight="1">
      <c r="A16" s="7" t="s">
        <v>404</v>
      </c>
      <c r="B16" s="21" t="s">
        <v>402</v>
      </c>
      <c r="C16" s="22" t="s">
        <v>3</v>
      </c>
      <c r="D16" s="23" t="s">
        <v>20</v>
      </c>
      <c r="E16" s="21" t="s">
        <v>20</v>
      </c>
      <c r="F16" s="21">
        <v>31</v>
      </c>
      <c r="G16" s="6"/>
      <c r="H16" s="24"/>
      <c r="I16" s="25" t="s">
        <v>508</v>
      </c>
      <c r="J16" s="26" t="s">
        <v>770</v>
      </c>
      <c r="K16" s="26" t="s">
        <v>776</v>
      </c>
      <c r="L16" s="26" t="s">
        <v>781</v>
      </c>
      <c r="M16" s="26" t="s">
        <v>507</v>
      </c>
      <c r="N16" s="26" t="s">
        <v>150</v>
      </c>
      <c r="O16" s="57" t="s">
        <v>225</v>
      </c>
      <c r="P16" s="26" t="s">
        <v>470</v>
      </c>
      <c r="Q16" s="26" t="s">
        <v>471</v>
      </c>
      <c r="R16" s="26" t="s">
        <v>472</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771</v>
      </c>
      <c r="AT16" s="27"/>
      <c r="AU16" s="49" t="s">
        <v>777</v>
      </c>
      <c r="AV16" s="27"/>
      <c r="AW16" s="49" t="s">
        <v>782</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520</v>
      </c>
      <c r="BZ16" s="157"/>
      <c r="CA16" s="157"/>
      <c r="CB16" s="157"/>
      <c r="CC16" s="157"/>
      <c r="CD16" s="157"/>
      <c r="CE16" s="157"/>
      <c r="CF16" s="157"/>
      <c r="CG16" s="157"/>
      <c r="CH16" s="157"/>
      <c r="CI16" s="157" t="s">
        <v>482</v>
      </c>
      <c r="CJ16" s="157" t="s">
        <v>397</v>
      </c>
      <c r="CK16" s="155" t="s">
        <v>462</v>
      </c>
      <c r="CL16" s="155" t="s">
        <v>463</v>
      </c>
      <c r="CM16" s="155" t="s">
        <v>464</v>
      </c>
      <c r="CN16" s="289" t="s">
        <v>332</v>
      </c>
      <c r="CO16" s="157">
        <v>2880</v>
      </c>
      <c r="CP16" s="214" t="s">
        <v>308</v>
      </c>
      <c r="CQ16" s="214" t="s">
        <v>509</v>
      </c>
      <c r="CR16" s="214"/>
      <c r="CS16" s="155" t="s">
        <v>389</v>
      </c>
      <c r="CT16" s="156"/>
      <c r="CU16" s="156"/>
      <c r="CV16" s="156" t="s">
        <v>374</v>
      </c>
      <c r="CW16" s="156" t="s">
        <v>337</v>
      </c>
      <c r="CX16" s="156" t="s">
        <v>159</v>
      </c>
      <c r="CY16" s="156"/>
      <c r="CZ16" s="156"/>
      <c r="DA16" s="156"/>
      <c r="DB16" s="147" t="s">
        <v>772</v>
      </c>
      <c r="DC16" s="147" t="s">
        <v>773</v>
      </c>
      <c r="DD16" s="156"/>
      <c r="DE16" s="156" t="s">
        <v>515</v>
      </c>
      <c r="DF16" s="156" t="s">
        <v>410</v>
      </c>
      <c r="DG16" s="156"/>
      <c r="DH16" s="155" t="s">
        <v>427</v>
      </c>
      <c r="DI16" s="155" t="s">
        <v>428</v>
      </c>
      <c r="DJ16" s="155" t="s">
        <v>429</v>
      </c>
      <c r="DK16" s="155"/>
      <c r="DL16" s="155"/>
      <c r="DM16" s="155"/>
      <c r="DN16" s="155"/>
      <c r="DO16" s="155"/>
      <c r="DP16" s="155"/>
      <c r="DQ16" s="155"/>
      <c r="DR16" s="155"/>
      <c r="DS16" s="155"/>
      <c r="DT16" s="155"/>
      <c r="DU16" s="155" t="s">
        <v>601</v>
      </c>
      <c r="DV16" s="155"/>
      <c r="DW16" s="155"/>
      <c r="DX16" s="155"/>
      <c r="DY16" s="155"/>
      <c r="DZ16" s="155"/>
      <c r="EA16" s="155"/>
      <c r="EB16" s="155"/>
      <c r="EC16" s="155"/>
      <c r="ED16" s="155"/>
      <c r="EE16" s="155"/>
      <c r="EF16" s="155"/>
      <c r="EG16" s="155"/>
      <c r="EH16" s="155"/>
      <c r="EI16" s="155" t="s">
        <v>610</v>
      </c>
      <c r="EJ16" s="155"/>
      <c r="EK16" s="155"/>
      <c r="EL16" s="155"/>
      <c r="EM16" s="155"/>
      <c r="EN16" s="155"/>
      <c r="EO16" s="988" t="s">
        <v>774</v>
      </c>
      <c r="EP16" s="988" t="s">
        <v>778</v>
      </c>
      <c r="EQ16" s="988" t="s">
        <v>783</v>
      </c>
      <c r="ER16" s="1002">
        <v>1000</v>
      </c>
      <c r="ES16" s="998"/>
      <c r="ET16" s="1142"/>
      <c r="EU16" s="1142"/>
      <c r="EV16" s="156" t="s">
        <v>824</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818</v>
      </c>
      <c r="K17" s="26" t="s">
        <v>146</v>
      </c>
      <c r="L17" s="26" t="s">
        <v>779</v>
      </c>
      <c r="M17" s="26" t="s">
        <v>506</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521</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721</v>
      </c>
      <c r="BZ17" s="174" t="s">
        <v>731</v>
      </c>
      <c r="CA17" s="154"/>
      <c r="CB17" s="154"/>
      <c r="CC17" s="154"/>
      <c r="CD17" s="154"/>
      <c r="CE17" s="154"/>
      <c r="CF17" s="154"/>
      <c r="CG17" s="154"/>
      <c r="CH17" s="154"/>
      <c r="CI17" s="154" t="s">
        <v>499</v>
      </c>
      <c r="CJ17" s="154" t="s">
        <v>299</v>
      </c>
      <c r="CK17" s="154" t="s">
        <v>465</v>
      </c>
      <c r="CL17" s="154" t="s">
        <v>466</v>
      </c>
      <c r="CM17" s="154" t="s">
        <v>466</v>
      </c>
      <c r="CN17" s="154">
        <v>1175</v>
      </c>
      <c r="CO17" s="154">
        <v>1800</v>
      </c>
      <c r="CP17" s="289" t="s">
        <v>417</v>
      </c>
      <c r="CQ17" s="154" t="s">
        <v>730</v>
      </c>
      <c r="CR17" s="154"/>
      <c r="CS17" s="154" t="s">
        <v>614</v>
      </c>
      <c r="CT17" s="156"/>
      <c r="CU17" s="156"/>
      <c r="CV17" s="156" t="s">
        <v>314</v>
      </c>
      <c r="CW17" s="156" t="s">
        <v>338</v>
      </c>
      <c r="CX17" s="156" t="s">
        <v>341</v>
      </c>
      <c r="CY17" s="156"/>
      <c r="CZ17" s="156"/>
      <c r="DA17" s="156"/>
      <c r="DB17" s="320" t="s">
        <v>766</v>
      </c>
      <c r="DC17" s="326"/>
      <c r="DD17" s="156"/>
      <c r="DE17" s="327" t="s">
        <v>514</v>
      </c>
      <c r="DF17" s="327" t="s">
        <v>145</v>
      </c>
      <c r="DG17" s="156"/>
      <c r="DH17" s="154" t="s">
        <v>435</v>
      </c>
      <c r="DI17" s="154" t="s">
        <v>433</v>
      </c>
      <c r="DJ17" s="154" t="s">
        <v>434</v>
      </c>
      <c r="DK17" s="154"/>
      <c r="DL17" s="154"/>
      <c r="DM17" s="155"/>
      <c r="DN17" s="155"/>
      <c r="DO17" s="155"/>
      <c r="DP17" s="155"/>
      <c r="DQ17" s="155"/>
      <c r="DR17" s="155"/>
      <c r="DS17" s="155"/>
      <c r="DT17" s="155"/>
      <c r="DU17" s="155" t="s">
        <v>602</v>
      </c>
      <c r="DV17" s="155"/>
      <c r="DW17" s="155"/>
      <c r="DX17" s="155"/>
      <c r="DY17" s="155"/>
      <c r="DZ17" s="155"/>
      <c r="EA17" s="155"/>
      <c r="EB17" s="155" t="s">
        <v>608</v>
      </c>
      <c r="EC17" s="155" t="s">
        <v>611</v>
      </c>
      <c r="ED17" s="155"/>
      <c r="EE17" s="155">
        <v>1200</v>
      </c>
      <c r="EF17" s="155">
        <v>600</v>
      </c>
      <c r="EG17" s="155"/>
      <c r="EH17" s="155"/>
      <c r="EI17" s="155" t="s">
        <v>613</v>
      </c>
      <c r="EJ17" s="155"/>
      <c r="EK17" s="155"/>
      <c r="EL17" s="155"/>
      <c r="EM17" s="155"/>
      <c r="EN17" s="155"/>
      <c r="EO17" s="320" t="s">
        <v>766</v>
      </c>
      <c r="EP17" s="320" t="s">
        <v>146</v>
      </c>
      <c r="EQ17" s="320" t="s">
        <v>779</v>
      </c>
      <c r="ER17" s="1001">
        <v>1600</v>
      </c>
      <c r="ES17" s="339"/>
      <c r="ET17" s="1142"/>
      <c r="EU17" s="1142"/>
      <c r="EV17" s="156" t="s">
        <v>827</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rNPokWhjM8Mm0JDfhCfIiwr56TqF5Jz+ir+KZRcFXRlfrJRn04WNweT6Cme9AhgBpylmTtK7yg3jKaSmfbaFA==" saltValue="hLq/Rt8fjO7q93j+m04il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TORREJON DE ARDOZ</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552</v>
      </c>
      <c r="F5" s="1503" t="s">
        <v>406</v>
      </c>
      <c r="G5" s="1492" t="s">
        <v>128</v>
      </c>
      <c r="H5" s="1492" t="s">
        <v>582</v>
      </c>
      <c r="I5" s="1492" t="s">
        <v>553</v>
      </c>
      <c r="J5" s="1492" t="s">
        <v>656</v>
      </c>
      <c r="K5" s="1492" t="s">
        <v>657</v>
      </c>
      <c r="L5" s="1492" t="s">
        <v>554</v>
      </c>
      <c r="M5" s="1492" t="s">
        <v>522</v>
      </c>
      <c r="N5" s="1492" t="s">
        <v>658</v>
      </c>
      <c r="O5" s="1495" t="s">
        <v>580</v>
      </c>
      <c r="P5" s="1492" t="s">
        <v>676</v>
      </c>
      <c r="Q5" s="1492" t="s">
        <v>671</v>
      </c>
      <c r="R5" s="1492" t="s">
        <v>168</v>
      </c>
      <c r="S5" s="1498" t="s">
        <v>668</v>
      </c>
      <c r="T5" s="1498" t="s">
        <v>670</v>
      </c>
      <c r="U5" s="1492" t="s">
        <v>583</v>
      </c>
      <c r="V5" s="1498" t="s">
        <v>555</v>
      </c>
      <c r="W5" s="1492" t="s">
        <v>762</v>
      </c>
      <c r="X5" s="1492" t="s">
        <v>763</v>
      </c>
      <c r="Y5" s="1512" t="s">
        <v>659</v>
      </c>
      <c r="Z5" s="1509" t="s">
        <v>605</v>
      </c>
      <c r="AA5" s="1527" t="s">
        <v>556</v>
      </c>
      <c r="AB5" s="1509" t="s">
        <v>557</v>
      </c>
      <c r="AC5" s="1509" t="s">
        <v>558</v>
      </c>
      <c r="AD5" s="1530" t="s">
        <v>660</v>
      </c>
      <c r="AE5" s="1530" t="s">
        <v>790</v>
      </c>
      <c r="AF5" s="1492" t="s">
        <v>672</v>
      </c>
      <c r="AG5" s="1492" t="s">
        <v>523</v>
      </c>
      <c r="AH5" s="1492" t="s">
        <v>661</v>
      </c>
      <c r="AI5" s="1492" t="s">
        <v>179</v>
      </c>
      <c r="AJ5" s="1492" t="s">
        <v>726</v>
      </c>
      <c r="AK5" s="1492" t="s">
        <v>524</v>
      </c>
      <c r="AL5" s="1492" t="s">
        <v>525</v>
      </c>
      <c r="AM5" s="1492" t="s">
        <v>677</v>
      </c>
      <c r="AN5" s="1492" t="s">
        <v>526</v>
      </c>
      <c r="AO5" s="1492" t="s">
        <v>527</v>
      </c>
      <c r="AP5" s="1492" t="s">
        <v>528</v>
      </c>
      <c r="AQ5" s="1492" t="s">
        <v>529</v>
      </c>
      <c r="AR5" s="1492" t="s">
        <v>662</v>
      </c>
      <c r="AS5" s="1492" t="s">
        <v>182</v>
      </c>
      <c r="AT5" s="1515" t="s">
        <v>180</v>
      </c>
      <c r="AU5" s="1492" t="s">
        <v>673</v>
      </c>
      <c r="AV5" s="1518" t="s">
        <v>674</v>
      </c>
      <c r="AW5" s="1521" t="s">
        <v>531</v>
      </c>
      <c r="AX5" s="1492" t="s">
        <v>532</v>
      </c>
      <c r="AY5" s="1492" t="s">
        <v>603</v>
      </c>
      <c r="AZ5" s="1524" t="s">
        <v>604</v>
      </c>
      <c r="BA5" s="1492" t="s">
        <v>560</v>
      </c>
      <c r="BB5" s="1518" t="s">
        <v>561</v>
      </c>
      <c r="BC5" s="1521" t="s">
        <v>183</v>
      </c>
      <c r="BD5" s="1492" t="s">
        <v>562</v>
      </c>
      <c r="BE5" s="1492" t="s">
        <v>247</v>
      </c>
      <c r="BF5" s="1492" t="s">
        <v>248</v>
      </c>
      <c r="BG5" s="1492" t="s">
        <v>249</v>
      </c>
      <c r="BH5" s="1492" t="s">
        <v>563</v>
      </c>
      <c r="BI5" s="1492" t="s">
        <v>250</v>
      </c>
      <c r="BJ5" s="1492" t="s">
        <v>564</v>
      </c>
      <c r="BK5" s="1492" t="s">
        <v>578</v>
      </c>
      <c r="BL5" s="1492" t="s">
        <v>565</v>
      </c>
      <c r="BM5" s="1492" t="s">
        <v>566</v>
      </c>
      <c r="BN5" s="1492" t="s">
        <v>591</v>
      </c>
      <c r="BO5" s="1492" t="s">
        <v>584</v>
      </c>
      <c r="BP5" s="1492" t="s">
        <v>830</v>
      </c>
      <c r="BQ5" s="1492" t="s">
        <v>833</v>
      </c>
      <c r="BR5" s="1492" t="s">
        <v>835</v>
      </c>
      <c r="BS5" s="1492" t="s">
        <v>585</v>
      </c>
      <c r="BT5" s="1492" t="s">
        <v>567</v>
      </c>
      <c r="BU5" s="1492" t="s">
        <v>530</v>
      </c>
      <c r="BV5" s="1506" t="s">
        <v>764</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195</v>
      </c>
      <c r="O9" s="334"/>
      <c r="P9" s="334"/>
      <c r="Q9" s="226">
        <f>IF(ISNUMBER(Datos!P9),Datos!P9,0)</f>
        <v>501</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346</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189</v>
      </c>
      <c r="AI9" s="334" t="str">
        <f>IF(ISNUMBER(Datos!CD9),Datos!CD9,"-")</f>
        <v>-</v>
      </c>
      <c r="AJ9" s="334" t="str">
        <f>IF(ISNUMBER(Datos!EN9),Datos!EN9," - ")</f>
        <v xml:space="preserve"> - </v>
      </c>
      <c r="AK9" s="334"/>
      <c r="AL9" s="479"/>
      <c r="AM9" s="335">
        <f>IF(ISNUMBER(Datos!R9),Datos!R9," - ")</f>
        <v>8609</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528</v>
      </c>
      <c r="BD9" s="229">
        <f>IF(ISNUMBER(Datos!N9),Datos!N9," - ")</f>
        <v>1496</v>
      </c>
      <c r="BE9" s="229" t="str">
        <f>IF(ISNUMBER(Datos!BW9),Datos!BW9," - ")</f>
        <v xml:space="preserve"> - </v>
      </c>
      <c r="BF9" s="228" t="str">
        <f>IF(ISNUMBER(Datos!BX9),Datos!BX9," - ")</f>
        <v xml:space="preserve"> - </v>
      </c>
      <c r="BG9" s="243">
        <f>IF(ISNUMBER(IF(J_V="SI",Datos!K9/Datos!J9,(Datos!K9+Datos!AA9)/(Datos!J9+Datos!Z9))),IF(J_V="SI",Datos!K9/Datos!J9,(Datos!K9+Datos!AA9)/(Datos!J9+Datos!Z9))," - ")</f>
        <v>0.79098110907982933</v>
      </c>
      <c r="BH9" s="260">
        <f>IF(ISNUMBER(((IF(J_V="SI",Datos!L9/Datos!K9,(Datos!L9+Datos!AB9)/(Datos!K9+Datos!AA9)))*11)/factor_trimestre),((IF(J_V="SI",Datos!L9/Datos!K9,(Datos!L9+Datos!AB9)/(Datos!K9+Datos!AA9)))*11)/factor_trimestre," - ")</f>
        <v>7.3828967642526955</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1.8334516205346582E-2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133</v>
      </c>
      <c r="G10" s="333">
        <f>IF(ISNUMBER(Datos!I10),Datos!I10," - ")</f>
        <v>133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8</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35</v>
      </c>
      <c r="AC10" s="226">
        <f>IF(ISNUMBER(Datos!Q10),Datos!Q10," - ")</f>
        <v>4</v>
      </c>
      <c r="AD10" s="334"/>
      <c r="AE10" s="484"/>
      <c r="AF10" s="332">
        <f>IF(ISNUMBER(Datos!L10),Datos!L10,"-")</f>
        <v>131</v>
      </c>
      <c r="AG10" s="334"/>
      <c r="AH10" s="334"/>
      <c r="AI10" s="334"/>
      <c r="AJ10" s="334"/>
      <c r="AK10" s="334"/>
      <c r="AL10" s="479"/>
      <c r="AM10" s="335">
        <f>IF(ISNUMBER(Datos!R10),Datos!R10," - ")</f>
        <v>76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14</v>
      </c>
      <c r="BD10" s="229">
        <f>IF(ISNUMBER(Datos!N10),Datos!N10," - ")</f>
        <v>8</v>
      </c>
      <c r="BE10" s="229" t="str">
        <f>IF(ISNUMBER(Datos!BW10),Datos!BW10," - ")</f>
        <v xml:space="preserve"> - </v>
      </c>
      <c r="BF10" s="228" t="str">
        <f>IF(ISNUMBER(Datos!BX10),Datos!BX10," - ")</f>
        <v xml:space="preserve"> - </v>
      </c>
      <c r="BG10" s="243">
        <f>IF(ISNUMBER(Datos!K10/Datos!J10),Datos!K10/Datos!J10," - ")</f>
        <v>1.0606060606060606</v>
      </c>
      <c r="BH10" s="260">
        <f>IF(ISNUMBER(((Datos!L10/Datos!K10)*11)/factor_trimestre),((Datos!L10/Datos!K10)*11)/factor_trimestre," - ")</f>
        <v>7.4857142857142858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5.5555555555555552E-2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7</v>
      </c>
      <c r="F13" s="898">
        <f t="shared" si="0"/>
        <v>133</v>
      </c>
      <c r="G13" s="898">
        <f t="shared" si="0"/>
        <v>133</v>
      </c>
      <c r="H13" s="899">
        <f t="shared" si="0"/>
        <v>0</v>
      </c>
      <c r="I13" s="898">
        <f t="shared" si="0"/>
        <v>0</v>
      </c>
      <c r="J13" s="867">
        <f t="shared" si="0"/>
        <v>0</v>
      </c>
      <c r="K13" s="867">
        <f t="shared" si="0"/>
        <v>0</v>
      </c>
      <c r="L13" s="899">
        <f t="shared" si="0"/>
        <v>0</v>
      </c>
      <c r="M13" s="899">
        <f t="shared" si="0"/>
        <v>0</v>
      </c>
      <c r="N13" s="899">
        <f t="shared" si="0"/>
        <v>195</v>
      </c>
      <c r="O13" s="900">
        <f t="shared" si="0"/>
        <v>0</v>
      </c>
      <c r="P13" s="900">
        <f t="shared" si="0"/>
        <v>0</v>
      </c>
      <c r="Q13" s="899">
        <f t="shared" si="0"/>
        <v>509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35</v>
      </c>
      <c r="AC13" s="899">
        <f t="shared" si="1"/>
        <v>350</v>
      </c>
      <c r="AD13" s="899">
        <f t="shared" si="1"/>
        <v>0</v>
      </c>
      <c r="AE13" s="899">
        <f t="shared" si="1"/>
        <v>0</v>
      </c>
      <c r="AF13" s="899">
        <f t="shared" si="1"/>
        <v>131</v>
      </c>
      <c r="AG13" s="899">
        <f t="shared" si="1"/>
        <v>0</v>
      </c>
      <c r="AH13" s="899">
        <f t="shared" si="1"/>
        <v>189</v>
      </c>
      <c r="AI13" s="899">
        <f t="shared" si="1"/>
        <v>0</v>
      </c>
      <c r="AJ13" s="899">
        <f t="shared" si="1"/>
        <v>0</v>
      </c>
      <c r="AK13" s="899">
        <f t="shared" si="1"/>
        <v>0</v>
      </c>
      <c r="AL13" s="899">
        <f t="shared" si="1"/>
        <v>0</v>
      </c>
      <c r="AM13" s="899">
        <f t="shared" si="1"/>
        <v>8685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542</v>
      </c>
      <c r="BD13" s="899">
        <f t="shared" si="1"/>
        <v>1504</v>
      </c>
      <c r="BE13" s="899">
        <f t="shared" si="1"/>
        <v>0</v>
      </c>
      <c r="BF13" s="899">
        <f t="shared" si="1"/>
        <v>0</v>
      </c>
      <c r="BG13" s="899">
        <f>IF(ISNUMBER(Datos!K13/Datos!J13),Datos!K13/Datos!J13," - ")</f>
        <v>0.78301282051282051</v>
      </c>
      <c r="BH13" s="903">
        <f>IF(ISNUMBER(((Datos!L13/Datos!K13)*11)/factor_trimestre),((Datos!L13/Datos!K13)*11)/factor_trimestre," - ")</f>
        <v>7.797789602947196</v>
      </c>
      <c r="BI13" s="899">
        <f>IF(ISNUMBER('Resol  Asuntos'!D13/NºAsuntos!G13),'Resol  Asuntos'!D13/NºAsuntos!G13," - ")</f>
        <v>0.20600532117065753</v>
      </c>
      <c r="BJ13" s="899" t="str">
        <f>IF(ISNUMBER(Datos!CI13/Datos!CJ13),Datos!CI13/Datos!CJ13," - ")</f>
        <v xml:space="preserve"> - </v>
      </c>
      <c r="BK13" s="899">
        <f>SUBTOTAL(9,BK8:BK12)</f>
        <v>0</v>
      </c>
      <c r="BL13" s="899">
        <f>IF(ISNUMBER((I13-AB13+L13)/(F13)),(I13-AB13+L13)/(F13)," - ")</f>
        <v>-0.26315789473684209</v>
      </c>
      <c r="BM13" s="904">
        <f>SUBTOTAL(9,BM9:BM12)</f>
        <v>7.3890071760902135E-2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1554</v>
      </c>
      <c r="G15" s="598">
        <f>IF(ISNUMBER(IF(D_I="SI",Datos!I15,Datos!I15+Datos!AC15)),IF(D_I="SI",Datos!I15,Datos!I15+Datos!AC15)," - ")</f>
        <v>1477</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54</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2042</v>
      </c>
      <c r="AC15" s="226">
        <f>IF(ISNUMBER(Datos!Q15),Datos!Q15," - ")</f>
        <v>93</v>
      </c>
      <c r="AD15" s="334"/>
      <c r="AE15" s="484"/>
      <c r="AF15" s="596">
        <f>IF(ISNUMBER(IF(D_I="SI",Datos!L15,Datos!L15+Datos!AF15)),IF(D_I="SI",Datos!L15,Datos!L15+Datos!AF15)," - ")</f>
        <v>1508</v>
      </c>
      <c r="AG15" s="334"/>
      <c r="AH15" s="334"/>
      <c r="AI15" s="334"/>
      <c r="AJ15" s="334"/>
      <c r="AK15" s="334"/>
      <c r="AL15" s="479"/>
      <c r="AM15" s="335">
        <f>IF(ISNUMBER(Datos!R15),Datos!R15," - ")</f>
        <v>249</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214</v>
      </c>
      <c r="BD15" s="229">
        <f>IF(ISNUMBER(Datos!N15),Datos!N15," - ")</f>
        <v>1275</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1.0230460921843687</v>
      </c>
      <c r="BH15" s="260">
        <f>IF(ISNUMBER(((IF(D_I="SI",Datos!L15/Datos!K15,(Datos!L15+Datos!AF15)/(Datos!K15+Datos!AE15)))*11)/factor_trimestre),((IF(D_I="SI",Datos!L15/Datos!K15,(Datos!L15+Datos!AF15)/(Datos!K15+Datos!AE15)))*11)/factor_trimestre," - ")</f>
        <v>1.4769833496571989</v>
      </c>
      <c r="BI15" s="243">
        <f>IF(ISNUMBER('Resol  Asuntos'!D15/NºAsuntos!G15),'Resol  Asuntos'!D15/NºAsuntos!G15," - ")</f>
        <v>0.10479921645445642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f>IF(ISNUMBER(AF16+AB16-Datos!J16-L16),AF16+AB16-Datos!J16-L16," - ")</f>
        <v>8</v>
      </c>
      <c r="G16" s="598">
        <f>IF(ISNUMBER(IF(D_I="SI",Datos!I16,Datos!I16+Datos!AC16)),IF(D_I="SI",Datos!I16,Datos!I16+Datos!AC16)," - ")</f>
        <v>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0</v>
      </c>
      <c r="AC16" s="226">
        <f>IF(ISNUMBER(Datos!Q16),Datos!Q16," - ")</f>
        <v>0</v>
      </c>
      <c r="AD16" s="334"/>
      <c r="AE16" s="484"/>
      <c r="AF16" s="596">
        <f>IF(ISNUMBER(IF(D_I="SI",Datos!L16,Datos!L16+Datos!AF16)),IF(D_I="SI",Datos!L16,Datos!L16+Datos!AF16)," - ")</f>
        <v>8</v>
      </c>
      <c r="AG16" s="334"/>
      <c r="AH16" s="334"/>
      <c r="AI16" s="334"/>
      <c r="AJ16" s="334"/>
      <c r="AK16" s="334"/>
      <c r="AL16" s="479"/>
      <c r="AM16" s="335">
        <f>IF(ISNUMBER(Datos!R16),Datos!R16," - ")</f>
        <v>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0</v>
      </c>
      <c r="BD16" s="229">
        <f>IF(ISNUMBER(Datos!N16),Datos!N16," - ")</f>
        <v>0</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242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322</v>
      </c>
      <c r="AC17" s="226">
        <f>IF(ISNUMBER(Datos!Q17),Datos!Q17," - ")</f>
        <v>0</v>
      </c>
      <c r="AD17" s="334"/>
      <c r="AE17" s="484"/>
      <c r="AF17" s="332">
        <f>IF(ISNUMBER(Datos!L17),Datos!L17,"-")</f>
        <v>206</v>
      </c>
      <c r="AG17" s="334"/>
      <c r="AH17" s="334"/>
      <c r="AI17" s="334"/>
      <c r="AJ17" s="334"/>
      <c r="AK17" s="334"/>
      <c r="AL17" s="479"/>
      <c r="AM17" s="335">
        <f>IF(ISNUMBER(Datos!R17),Datos!R17," - ")</f>
        <v>9</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18</v>
      </c>
      <c r="BD17" s="229">
        <f>IF(ISNUMBER(Datos!N17),Datos!N17," - ")</f>
        <v>202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1.1258741258741258</v>
      </c>
      <c r="BH17" s="260">
        <f>IF(ISNUMBER(((IF(D_I="SI",Datos!L17/Datos!K17,(Datos!L17+Datos!AF17)/(Datos!K17+Datos!AE17)))*11)/factor_trimestre),((IF(D_I="SI",Datos!L17/Datos!K17,(Datos!L17+Datos!AF17)/(Datos!K17+Datos!AE17)))*11)/factor_trimestre," - ")</f>
        <v>1.2795031055900621</v>
      </c>
      <c r="BI17" s="243">
        <f>IF(ISNUMBER('Resol  Asuntos'!D17/NºAsuntos!G17),'Resol  Asuntos'!D17/NºAsuntos!G17," - ")</f>
        <v>5.5900621118012424E-2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5</v>
      </c>
      <c r="F18" s="898">
        <f>SUBTOTAL(9,F15:F17)</f>
        <v>1562</v>
      </c>
      <c r="G18" s="898">
        <f>SUBTOTAL(9,G15:G17)</f>
        <v>1727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2364</v>
      </c>
      <c r="AC18" s="899">
        <f t="shared" si="4"/>
        <v>93</v>
      </c>
      <c r="AD18" s="899">
        <f t="shared" si="4"/>
        <v>0</v>
      </c>
      <c r="AE18" s="899">
        <f t="shared" si="4"/>
        <v>0</v>
      </c>
      <c r="AF18" s="899">
        <f t="shared" si="4"/>
        <v>1722</v>
      </c>
      <c r="AG18" s="899">
        <f t="shared" si="4"/>
        <v>0</v>
      </c>
      <c r="AH18" s="899">
        <f t="shared" si="4"/>
        <v>0</v>
      </c>
      <c r="AI18" s="899">
        <f t="shared" si="4"/>
        <v>0</v>
      </c>
      <c r="AJ18" s="899">
        <f t="shared" si="4"/>
        <v>0</v>
      </c>
      <c r="AK18" s="899">
        <f t="shared" si="4"/>
        <v>0</v>
      </c>
      <c r="AL18" s="899">
        <f t="shared" si="4"/>
        <v>0</v>
      </c>
      <c r="AM18" s="899">
        <f t="shared" si="4"/>
        <v>258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232</v>
      </c>
      <c r="BD18" s="899">
        <f t="shared" si="4"/>
        <v>1477</v>
      </c>
      <c r="BE18" s="899">
        <f t="shared" si="4"/>
        <v>0</v>
      </c>
      <c r="BF18" s="899">
        <f t="shared" si="4"/>
        <v>0</v>
      </c>
      <c r="BG18" s="899">
        <f>IF(ISNUMBER(Datos!K18/Datos!J18),Datos!K18/Datos!J18," - ")</f>
        <v>1.0359333917616127</v>
      </c>
      <c r="BH18" s="903">
        <f>IF(ISNUMBER(((Datos!L18/Datos!K18)*11)/factor_trimestre),((Datos!L18/Datos!K18)*11)/factor_trimestre," - ")</f>
        <v>1.4568527918781726</v>
      </c>
      <c r="BI18" s="899">
        <f>SUBTOTAL(9,BI15:BI17)</f>
        <v>0.16069983757246883</v>
      </c>
      <c r="BJ18" s="899">
        <f>SUBTOTAL(9,BJ15:BJ17)</f>
        <v>0</v>
      </c>
      <c r="BK18" s="899">
        <f>SUBTOTAL(9,BK15:BK17)</f>
        <v>0</v>
      </c>
      <c r="BL18" s="899">
        <f>IF(ISNUMBER((I18-AB18+L18)/(F18)),(I18-AB18+L18)/(F18)," - ")</f>
        <v>-1.5134443021766966</v>
      </c>
      <c r="BM18" s="905">
        <f>IF(ISNUMBER((Datos!P18-Datos!Q18)/(Datos!R18-Datos!P18+Datos!Q18)),(Datos!P18-Datos!Q18)/(Datos!R18-Datos!P18+Datos!Q18)," - ")</f>
        <v>-0.12837837837837837</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12</v>
      </c>
      <c r="F19" s="820">
        <f t="shared" si="6"/>
        <v>1695</v>
      </c>
      <c r="G19" s="820">
        <f t="shared" si="6"/>
        <v>1860</v>
      </c>
      <c r="H19" s="822">
        <f t="shared" si="6"/>
        <v>0</v>
      </c>
      <c r="I19" s="820">
        <f t="shared" si="6"/>
        <v>0</v>
      </c>
      <c r="J19" s="822">
        <f t="shared" si="6"/>
        <v>0</v>
      </c>
      <c r="K19" s="822">
        <f t="shared" si="6"/>
        <v>0</v>
      </c>
      <c r="L19" s="881">
        <f t="shared" si="6"/>
        <v>0</v>
      </c>
      <c r="M19" s="881">
        <f t="shared" si="6"/>
        <v>0</v>
      </c>
      <c r="N19" s="881">
        <f t="shared" si="6"/>
        <v>195</v>
      </c>
      <c r="O19" s="881">
        <f t="shared" si="6"/>
        <v>0</v>
      </c>
      <c r="P19" s="881">
        <f t="shared" si="6"/>
        <v>0</v>
      </c>
      <c r="Q19" s="822">
        <f t="shared" si="6"/>
        <v>564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2399</v>
      </c>
      <c r="AC19" s="821">
        <f t="shared" si="7"/>
        <v>443</v>
      </c>
      <c r="AD19" s="821">
        <f t="shared" si="7"/>
        <v>0</v>
      </c>
      <c r="AE19" s="821">
        <f t="shared" si="7"/>
        <v>0</v>
      </c>
      <c r="AF19" s="828">
        <f t="shared" si="7"/>
        <v>1853</v>
      </c>
      <c r="AG19" s="828">
        <f t="shared" si="7"/>
        <v>0</v>
      </c>
      <c r="AH19" s="828">
        <f t="shared" si="7"/>
        <v>189</v>
      </c>
      <c r="AI19" s="828">
        <f t="shared" si="7"/>
        <v>0</v>
      </c>
      <c r="AJ19" s="821">
        <f t="shared" si="7"/>
        <v>0</v>
      </c>
      <c r="AK19" s="828">
        <f t="shared" si="7"/>
        <v>0</v>
      </c>
      <c r="AL19" s="828">
        <f t="shared" si="7"/>
        <v>0</v>
      </c>
      <c r="AM19" s="828">
        <f t="shared" si="7"/>
        <v>8943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774</v>
      </c>
      <c r="BD19" s="820">
        <f t="shared" si="7"/>
        <v>2981</v>
      </c>
      <c r="BE19" s="820">
        <f t="shared" si="7"/>
        <v>0</v>
      </c>
      <c r="BF19" s="830">
        <f t="shared" si="7"/>
        <v>0</v>
      </c>
      <c r="BG19" s="915">
        <f>IF(ISNUMBER(Datos!K19/Datos!J19),Datos!K19/Datos!J19," - ")</f>
        <v>0.88985560903369121</v>
      </c>
      <c r="BH19" s="915">
        <f>IF(ISNUMBER(((Datos!L19/Datos!K19)*11)/factor_trimestre),((Datos!L19/Datos!K19)*11)/factor_trimestre," - ")</f>
        <v>4.6794258373205739</v>
      </c>
      <c r="BI19" s="813">
        <f>IF(ISNUMBER(Datos!J19/Datos!I19),Datos!J19/Datos!I19," - ")</f>
        <v>0.51068254868595198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-1.4153392330383481</v>
      </c>
      <c r="BM19" s="889">
        <f>IF(ISNUMBER((Datos!P19-Datos!Q19+R19)/(Datos!R19-Datos!P19+Datos!Q19-R19)),(Datos!P19-Datos!Q19+R19)/(Datos!R19-Datos!P19+Datos!Q19-R19)," - ")</f>
        <v>1.3715710723192019E-2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620</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2.8284271247461903</v>
      </c>
      <c r="F21" s="551">
        <f>IF(ISNUMBER(STDEV(F8:F18)),STDEV(F8:F18),"-")</f>
        <v>804.95061960346368</v>
      </c>
      <c r="G21" s="552">
        <f>IF(ISNUMBER(STDEV(G8:G18)),STDEV(G8:G18),"-")</f>
        <v>768.33117859423101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1097.9611407817067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234.64826767698398</v>
      </c>
      <c r="BD21" s="551"/>
      <c r="BE21" s="551">
        <f>IF(ISNUMBER(STDEV(BE8:BE18)),STDEV(BE8:BE18),"-")</f>
        <v>0</v>
      </c>
      <c r="BF21" s="556">
        <f>IF(ISNUMBER(STDEV(BF8:BF18)),STDEV(BF8:BF18),"-")</f>
        <v>0</v>
      </c>
      <c r="BG21" s="775">
        <f>IF(ISNUMBER(STDEV(BG8:BG18)),STDEV(BG8:BG18),"-")</f>
        <v>0.14606794324616929</v>
      </c>
      <c r="BH21" s="776">
        <f>IF(ISNUMBER(STDEV(BH8:BH18)),STDEV(BH8:BH18),"-")</f>
        <v>3.372523216962144</v>
      </c>
      <c r="BI21" s="249">
        <f>IF(ISNUMBER(STDEV(BI8:BI18)),STDEV(BI8:BI18),"-")</f>
        <v>6.5399739608625246E-2</v>
      </c>
      <c r="BJ21" s="230" t="str">
        <f>IF(ISNUMBER(BL21/BM21),BL21/BM21," - ")</f>
        <v xml:space="preserve"> - </v>
      </c>
      <c r="BK21" s="575"/>
      <c r="BL21" s="559">
        <f>IF(ISNUMBER(STDEV(BL8:BL18)),STDEV(BL8:BL18),"-")</f>
        <v>0.88408599712608782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SlbMD3jBAK4KGIw38ORSkjbxegQrVM4y33rqS9XUK2tbPoHBp1gjzNe/SNZ1Z/ePByPZfOpTp2P5cq41Iy2XdA==" saltValue="BoPiKMmZVsMwRJa68M737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TORREJON DE ARDOZ</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552</v>
      </c>
      <c r="F5" s="1503" t="s">
        <v>406</v>
      </c>
      <c r="G5" s="1492" t="s">
        <v>128</v>
      </c>
      <c r="H5" s="1492" t="s">
        <v>582</v>
      </c>
      <c r="I5" s="1492" t="s">
        <v>553</v>
      </c>
      <c r="J5" s="1492" t="s">
        <v>675</v>
      </c>
      <c r="K5" s="1492" t="s">
        <v>554</v>
      </c>
      <c r="L5" s="1492" t="s">
        <v>580</v>
      </c>
      <c r="M5" s="1492" t="s">
        <v>676</v>
      </c>
      <c r="N5" s="1492" t="s">
        <v>579</v>
      </c>
      <c r="O5" s="1492" t="s">
        <v>606</v>
      </c>
      <c r="P5" s="1498" t="s">
        <v>668</v>
      </c>
      <c r="Q5" s="1498" t="s">
        <v>670</v>
      </c>
      <c r="R5" s="1492" t="s">
        <v>586</v>
      </c>
      <c r="S5" s="1492" t="s">
        <v>555</v>
      </c>
      <c r="T5" s="1492" t="s">
        <v>762</v>
      </c>
      <c r="U5" s="1492" t="s">
        <v>763</v>
      </c>
      <c r="V5" s="1512" t="s">
        <v>659</v>
      </c>
      <c r="W5" s="1509" t="s">
        <v>568</v>
      </c>
      <c r="X5" s="1527" t="s">
        <v>569</v>
      </c>
      <c r="Y5" s="1530" t="s">
        <v>587</v>
      </c>
      <c r="Z5" s="1530" t="s">
        <v>607</v>
      </c>
      <c r="AA5" s="1492" t="s">
        <v>559</v>
      </c>
      <c r="AB5" s="1492" t="s">
        <v>570</v>
      </c>
      <c r="AC5" s="1492" t="s">
        <v>571</v>
      </c>
      <c r="AD5" s="1492" t="s">
        <v>525</v>
      </c>
      <c r="AE5" s="1492" t="s">
        <v>677</v>
      </c>
      <c r="AF5" s="1492" t="s">
        <v>182</v>
      </c>
      <c r="AG5" s="1492" t="s">
        <v>572</v>
      </c>
      <c r="AH5" s="1492" t="s">
        <v>560</v>
      </c>
      <c r="AI5" s="1492" t="s">
        <v>561</v>
      </c>
      <c r="AJ5" s="1492" t="s">
        <v>573</v>
      </c>
      <c r="AK5" s="1492" t="s">
        <v>574</v>
      </c>
      <c r="AL5" s="1492" t="s">
        <v>575</v>
      </c>
      <c r="AM5" s="1524" t="s">
        <v>576</v>
      </c>
      <c r="AN5" s="1492" t="s">
        <v>249</v>
      </c>
      <c r="AO5" s="1492" t="s">
        <v>563</v>
      </c>
      <c r="AP5" s="1492" t="s">
        <v>564</v>
      </c>
      <c r="AQ5" s="1492" t="s">
        <v>588</v>
      </c>
      <c r="AR5" s="1492" t="s">
        <v>589</v>
      </c>
      <c r="AS5" s="1492" t="s">
        <v>591</v>
      </c>
      <c r="AT5" s="1492" t="s">
        <v>584</v>
      </c>
      <c r="AU5" s="1492" t="s">
        <v>830</v>
      </c>
      <c r="AV5" s="1492" t="s">
        <v>333</v>
      </c>
      <c r="AW5" s="1492" t="s">
        <v>577</v>
      </c>
      <c r="AX5" s="1492" t="s">
        <v>530</v>
      </c>
      <c r="BU5" s="1492" t="s">
        <v>764</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590</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501</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346</v>
      </c>
      <c r="AA9" s="332" t="str">
        <f>IF(ISNUMBER(IF(J_V="SI",Datos!L9,Datos!L9+Datos!AB9)-IF(Monitorios="SI",Datos!CD9,0)),
                          IF(J_V="SI",Datos!L9,Datos!L9+Datos!AB9)-IF(Monitorios="SI",Datos!CD9,0),
                          " - ")</f>
        <v xml:space="preserve"> - </v>
      </c>
      <c r="AB9" s="334"/>
      <c r="AC9" s="334"/>
      <c r="AD9" s="484"/>
      <c r="AE9" s="484">
        <f>IF(ISNUMBER(Datos!R9),Datos!R9," - ")</f>
        <v>8609</v>
      </c>
      <c r="AF9" s="229" t="str">
        <f>IF(ISNUMBER(Datos!BV9),Datos!BV9," - ")</f>
        <v xml:space="preserve"> - </v>
      </c>
      <c r="AG9" s="225" t="str">
        <f>IF(ISNUMBER(Datos!DV9),Datos!DV9," - ")</f>
        <v xml:space="preserve"> - </v>
      </c>
      <c r="AH9" s="298"/>
      <c r="AI9" s="227"/>
      <c r="AJ9" s="225">
        <f>IF(ISNUMBER(Datos!M9),Datos!M9," - ")</f>
        <v>528</v>
      </c>
      <c r="AK9" s="229">
        <f>IF(ISNUMBER(Datos!N9),Datos!N9," - ")</f>
        <v>1496</v>
      </c>
      <c r="AL9" s="229" t="str">
        <f>IF(ISNUMBER(Datos!BW9),Datos!BW9," - ")</f>
        <v xml:space="preserve"> - </v>
      </c>
      <c r="AM9" s="228" t="str">
        <f>IF(ISNUMBER(Datos!BX9),Datos!BX9," - ")</f>
        <v xml:space="preserve"> - </v>
      </c>
      <c r="AN9" s="243"/>
      <c r="AO9" s="260">
        <f>IF(ISNUMBER(((NºAsuntos!I9/NºAsuntos!G9)*11)/factor_trimestre),((NºAsuntos!I9/NºAsuntos!G9)*11)/factor_trimestre," - ")</f>
        <v>7.3828967642526955</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1.8334516205346582E-2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133</v>
      </c>
      <c r="G10" s="225">
        <f>IF(ISNUMBER(Datos!I10),Datos!I10," - ")</f>
        <v>133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8</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35</v>
      </c>
      <c r="Z10" s="619">
        <f>IF(ISNUMBER(Datos!Q10),Datos!Q10," - ")</f>
        <v>4</v>
      </c>
      <c r="AA10" s="332">
        <f>IF(ISNUMBER(Datos!L10),Datos!L10,"-")</f>
        <v>131</v>
      </c>
      <c r="AB10" s="334"/>
      <c r="AC10" s="334"/>
      <c r="AD10" s="484"/>
      <c r="AE10" s="484">
        <f>IF(ISNUMBER(Datos!R10),Datos!R10," - ")</f>
        <v>76</v>
      </c>
      <c r="AF10" s="229" t="str">
        <f>IF(ISNUMBER(Datos!BV10),Datos!BV10," - ")</f>
        <v xml:space="preserve"> - </v>
      </c>
      <c r="AG10" s="225" t="str">
        <f>IF(ISNUMBER(Datos!DV10),Datos!DV10," - ")</f>
        <v xml:space="preserve"> - </v>
      </c>
      <c r="AH10" s="298"/>
      <c r="AI10" s="227"/>
      <c r="AJ10" s="225">
        <f>IF(ISNUMBER(Datos!M10),Datos!M10," - ")</f>
        <v>14</v>
      </c>
      <c r="AK10" s="229">
        <f>IF(ISNUMBER(Datos!N10),Datos!N10," - ")</f>
        <v>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7.4857142857142858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5.5555555555555552E-2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7</v>
      </c>
      <c r="F13" s="898">
        <f>SUBTOTAL(9,F8:F12)</f>
        <v>133</v>
      </c>
      <c r="G13" s="898">
        <f>SUBTOTAL(9,G8:G12)</f>
        <v>133</v>
      </c>
      <c r="H13" s="908"/>
      <c r="I13" s="898">
        <f t="shared" ref="I13:N13" si="0">SUBTOTAL(9,I8:I12)</f>
        <v>0</v>
      </c>
      <c r="J13" s="867">
        <f t="shared" si="0"/>
        <v>0</v>
      </c>
      <c r="K13" s="908">
        <f t="shared" si="0"/>
        <v>0</v>
      </c>
      <c r="L13" s="908">
        <f t="shared" si="0"/>
        <v>0</v>
      </c>
      <c r="M13" s="908">
        <f t="shared" si="0"/>
        <v>0</v>
      </c>
      <c r="N13" s="908">
        <f t="shared" si="0"/>
        <v>509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35</v>
      </c>
      <c r="Z13" s="907">
        <f t="shared" si="2"/>
        <v>350</v>
      </c>
      <c r="AA13" s="900">
        <f t="shared" si="2"/>
        <v>131</v>
      </c>
      <c r="AB13" s="900">
        <f t="shared" si="2"/>
        <v>0</v>
      </c>
      <c r="AC13" s="900">
        <f t="shared" si="2"/>
        <v>0</v>
      </c>
      <c r="AD13" s="900">
        <f t="shared" si="2"/>
        <v>0</v>
      </c>
      <c r="AE13" s="900">
        <f t="shared" si="2"/>
        <v>8685</v>
      </c>
      <c r="AF13" s="908">
        <f t="shared" si="2"/>
        <v>0</v>
      </c>
      <c r="AG13" s="908">
        <f t="shared" si="2"/>
        <v>0</v>
      </c>
      <c r="AH13" s="908">
        <f t="shared" si="2"/>
        <v>0</v>
      </c>
      <c r="AI13" s="908">
        <f t="shared" si="2"/>
        <v>0</v>
      </c>
      <c r="AJ13" s="908">
        <f t="shared" si="2"/>
        <v>542</v>
      </c>
      <c r="AK13" s="908">
        <f t="shared" si="2"/>
        <v>1504</v>
      </c>
      <c r="AL13" s="908">
        <f t="shared" si="2"/>
        <v>0</v>
      </c>
      <c r="AM13" s="908">
        <f t="shared" si="2"/>
        <v>0</v>
      </c>
      <c r="AN13" s="908">
        <f t="shared" si="2"/>
        <v>0</v>
      </c>
      <c r="AO13" s="904">
        <f>IF(ISNUMBER(((NºAsuntos!I13/NºAsuntos!G13)*11)/factor_trimestre),((NºAsuntos!I13/NºAsuntos!G13)*11)/factor_trimestre," - ")</f>
        <v>7.3842645381984049</v>
      </c>
      <c r="AP13" s="910" t="str">
        <f>IF(ISNUMBER(Datos!CI13/Datos!CJ13),Datos!CI13/Datos!CJ13," - ")</f>
        <v xml:space="preserve"> - </v>
      </c>
      <c r="AQ13" s="928">
        <f t="shared" ref="AQ13:AV13" si="3">SUBTOTAL(9,AQ9:AQ12)</f>
        <v>0</v>
      </c>
      <c r="AR13" s="928">
        <f t="shared" si="3"/>
        <v>7.3890071760902135E-2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1554</v>
      </c>
      <c r="G15" s="225">
        <f>IF(ISNUMBER(IF(D_I="SI",Datos!I15,Datos!I15+Datos!AC15)),IF(D_I="SI",Datos!I15,Datos!I15+Datos!AC15)," - ")</f>
        <v>1477</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54</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2042</v>
      </c>
      <c r="Z15" s="619">
        <f>IF(ISNUMBER(Datos!Q15),Datos!Q15," - ")</f>
        <v>93</v>
      </c>
      <c r="AA15" s="332">
        <f>IF(ISNUMBER(IF(D_I="SI",Datos!L15,Datos!L15+Datos!AF15)),IF(D_I="SI",Datos!L15,Datos!L15+Datos!AF15)," - ")</f>
        <v>1508</v>
      </c>
      <c r="AB15" s="334"/>
      <c r="AC15" s="334"/>
      <c r="AD15" s="484"/>
      <c r="AE15" s="484">
        <f>IF(ISNUMBER(Datos!R15),Datos!R15," - ")</f>
        <v>249</v>
      </c>
      <c r="AF15" s="229" t="str">
        <f>IF(ISNUMBER(Datos!BV15),Datos!BV15," - ")</f>
        <v xml:space="preserve"> - </v>
      </c>
      <c r="AG15" s="225"/>
      <c r="AH15" s="298"/>
      <c r="AI15" s="227"/>
      <c r="AJ15" s="225">
        <f>IF(ISNUMBER(Datos!M15),Datos!M15," - ")</f>
        <v>214</v>
      </c>
      <c r="AK15" s="229">
        <f>IF(ISNUMBER(Datos!N15),Datos!N15," - ")</f>
        <v>1275</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1.4769833496571989</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0</v>
      </c>
      <c r="B16" s="507" t="s">
        <v>396</v>
      </c>
      <c r="C16" s="160" t="str">
        <f>Datos!A16</f>
        <v xml:space="preserve">Jdos. 1ª Instª. e Instr.                        </v>
      </c>
      <c r="D16" s="502"/>
      <c r="E16" s="1168">
        <f>IF(ISNUMBER(Datos!AQ16),Datos!AQ16," - ")</f>
        <v>0</v>
      </c>
      <c r="F16" s="333">
        <f>IF(ISNUMBER(AA16+Y16-Datos!J16-K15),AA16+Y16-Datos!J16-K15," - ")</f>
        <v>8</v>
      </c>
      <c r="G16" s="225">
        <f>IF(ISNUMBER(IF(D_I="SI",Datos!I16,Datos!I16+Datos!AC16)),IF(D_I="SI",Datos!I16,Datos!I16+Datos!AC16)," - ")</f>
        <v>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0</v>
      </c>
      <c r="Z16" s="619">
        <f>IF(ISNUMBER(Datos!Q16),Datos!Q16," - ")</f>
        <v>0</v>
      </c>
      <c r="AA16" s="332">
        <f>IF(ISNUMBER(IF(D_I="SI",Datos!L16,Datos!L16+Datos!AF16)),IF(D_I="SI",Datos!L16,Datos!L16+Datos!AF16)," - ")</f>
        <v>8</v>
      </c>
      <c r="AB16" s="334"/>
      <c r="AC16" s="334"/>
      <c r="AD16" s="484"/>
      <c r="AE16" s="484">
        <f>IF(ISNUMBER(Datos!R16),Datos!R16," - ")</f>
        <v>0</v>
      </c>
      <c r="AF16" s="229" t="str">
        <f>IF(ISNUMBER(Datos!BV16),Datos!BV16," - ")</f>
        <v xml:space="preserve"> - </v>
      </c>
      <c r="AG16" s="225"/>
      <c r="AH16" s="298"/>
      <c r="AI16" s="227"/>
      <c r="AJ16" s="225">
        <f>IF(ISNUMBER(Datos!M16),Datos!M16," - ")</f>
        <v>0</v>
      </c>
      <c r="AK16" s="229">
        <f>IF(ISNUMBER(Datos!N16),Datos!N16," - ")</f>
        <v>0</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242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322</v>
      </c>
      <c r="Z17" s="619">
        <f>IF(ISNUMBER(Datos!Q17),Datos!Q17," - ")</f>
        <v>0</v>
      </c>
      <c r="AA17" s="332">
        <f>IF(ISNUMBER(Datos!L17),Datos!L17,"-")</f>
        <v>206</v>
      </c>
      <c r="AB17" s="334"/>
      <c r="AC17" s="334"/>
      <c r="AD17" s="484"/>
      <c r="AE17" s="484">
        <f>IF(ISNUMBER(Datos!R17),Datos!R17," - ")</f>
        <v>9</v>
      </c>
      <c r="AF17" s="229" t="str">
        <f>IF(ISNUMBER(Datos!BV17),Datos!BV17," - ")</f>
        <v xml:space="preserve"> - </v>
      </c>
      <c r="AG17" s="225" t="str">
        <f>IF(ISNUMBER(Datos!DV17),Datos!DV17," - ")</f>
        <v xml:space="preserve"> - </v>
      </c>
      <c r="AH17" s="298"/>
      <c r="AI17" s="227"/>
      <c r="AJ17" s="225">
        <f>IF(ISNUMBER(Datos!M17),Datos!M17," - ")</f>
        <v>18</v>
      </c>
      <c r="AK17" s="229">
        <f>IF(ISNUMBER(Datos!N17),Datos!N17," - ")</f>
        <v>202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1.2795031055900621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5</v>
      </c>
      <c r="F18" s="898">
        <f>SUBTOTAL(9,F15:F17)</f>
        <v>1562</v>
      </c>
      <c r="G18" s="898">
        <f>SUBTOTAL(9,G15:G17)</f>
        <v>1727</v>
      </c>
      <c r="H18" s="932">
        <f>SUBTOTAL(9,H15:H17)</f>
        <v>0</v>
      </c>
      <c r="I18" s="911">
        <f>SUBTOTAL(9,I15:I17)</f>
        <v>0</v>
      </c>
      <c r="J18" s="867">
        <f>SUBTOTAL(9,J14:J17)</f>
        <v>0</v>
      </c>
      <c r="K18" s="932">
        <f t="shared" ref="K18:S18" si="4">SUBTOTAL(9,K15:K17)</f>
        <v>0</v>
      </c>
      <c r="L18" s="932">
        <f t="shared" si="4"/>
        <v>0</v>
      </c>
      <c r="M18" s="932">
        <f t="shared" si="4"/>
        <v>0</v>
      </c>
      <c r="N18" s="932">
        <f t="shared" si="4"/>
        <v>55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2364</v>
      </c>
      <c r="Z18" s="932">
        <f t="shared" si="5"/>
        <v>93</v>
      </c>
      <c r="AA18" s="932">
        <f t="shared" si="5"/>
        <v>1722</v>
      </c>
      <c r="AB18" s="932">
        <f t="shared" si="5"/>
        <v>0</v>
      </c>
      <c r="AC18" s="932">
        <f t="shared" si="5"/>
        <v>0</v>
      </c>
      <c r="AD18" s="932">
        <f t="shared" si="5"/>
        <v>0</v>
      </c>
      <c r="AE18" s="932">
        <f t="shared" si="5"/>
        <v>258</v>
      </c>
      <c r="AF18" s="932">
        <f t="shared" si="5"/>
        <v>0</v>
      </c>
      <c r="AG18" s="932">
        <f t="shared" si="5"/>
        <v>0</v>
      </c>
      <c r="AH18" s="932">
        <f t="shared" si="5"/>
        <v>0</v>
      </c>
      <c r="AI18" s="932">
        <f t="shared" si="5"/>
        <v>0</v>
      </c>
      <c r="AJ18" s="932">
        <f t="shared" si="5"/>
        <v>232</v>
      </c>
      <c r="AK18" s="932">
        <f t="shared" si="5"/>
        <v>1477</v>
      </c>
      <c r="AL18" s="932">
        <f t="shared" si="5"/>
        <v>0</v>
      </c>
      <c r="AM18" s="932">
        <f t="shared" si="5"/>
        <v>0</v>
      </c>
      <c r="AN18" s="932">
        <f t="shared" si="5"/>
        <v>0</v>
      </c>
      <c r="AO18" s="934">
        <f>IF(ISNUMBER(((NºAsuntos!I18/NºAsuntos!G18)*11)/factor_trimestre),((NºAsuntos!I18/NºAsuntos!G18)*11)/factor_trimestre," - ")</f>
        <v>1.4568527918781726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1695</v>
      </c>
      <c r="G19" s="820">
        <f t="shared" si="7"/>
        <v>1860</v>
      </c>
      <c r="H19" s="821">
        <f t="shared" si="7"/>
        <v>0</v>
      </c>
      <c r="I19" s="820">
        <f t="shared" si="7"/>
        <v>0</v>
      </c>
      <c r="J19" s="822">
        <f t="shared" si="7"/>
        <v>0</v>
      </c>
      <c r="K19" s="820">
        <f t="shared" si="7"/>
        <v>0</v>
      </c>
      <c r="L19" s="823">
        <f t="shared" si="7"/>
        <v>0</v>
      </c>
      <c r="M19" s="820">
        <f t="shared" si="7"/>
        <v>0</v>
      </c>
      <c r="N19" s="821">
        <f t="shared" si="7"/>
        <v>564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2399</v>
      </c>
      <c r="Z19" s="827">
        <f t="shared" si="8"/>
        <v>443</v>
      </c>
      <c r="AA19" s="828">
        <f t="shared" si="8"/>
        <v>1853</v>
      </c>
      <c r="AB19" s="828">
        <f t="shared" si="8"/>
        <v>0</v>
      </c>
      <c r="AC19" s="828">
        <f t="shared" si="8"/>
        <v>0</v>
      </c>
      <c r="AD19" s="829">
        <f t="shared" si="8"/>
        <v>0</v>
      </c>
      <c r="AE19" s="829">
        <f t="shared" si="8"/>
        <v>8943</v>
      </c>
      <c r="AF19" s="830">
        <f t="shared" si="8"/>
        <v>0</v>
      </c>
      <c r="AG19" s="831">
        <f t="shared" si="8"/>
        <v>0</v>
      </c>
      <c r="AH19" s="832">
        <f t="shared" si="8"/>
        <v>0</v>
      </c>
      <c r="AI19" s="830">
        <f t="shared" si="8"/>
        <v>0</v>
      </c>
      <c r="AJ19" s="820">
        <f t="shared" si="8"/>
        <v>774</v>
      </c>
      <c r="AK19" s="820">
        <f t="shared" si="8"/>
        <v>2981</v>
      </c>
      <c r="AL19" s="820">
        <f t="shared" si="8"/>
        <v>0</v>
      </c>
      <c r="AM19" s="833">
        <f t="shared" si="8"/>
        <v>0</v>
      </c>
      <c r="AN19" s="823">
        <f>IF(ISNUMBER(Datos!K19/Datos!J19),Datos!K19/Datos!J19," - ")</f>
        <v>0.88985560903369121</v>
      </c>
      <c r="AO19" s="823">
        <f>IF(ISNUMBER(FIND("06",Criterios!A8,1)),(IF(ISNUMBER(((Datos!R19/Datos!Q19)*11)/factor_trimestre),((Datos!R19/Datos!Q19)*11)/factor_trimestre," - ")),(IF(ISNUMBER(((Datos!L19/Datos!K19)*11)/factor_trimestre),((Datos!L19/Datos!K19)*11)/factor_trimestre," - ")))</f>
        <v>4.6794258373205739</v>
      </c>
      <c r="AP19" s="834" t="str">
        <f>IF(ISNUMBER(Datos!CI19/Datos!CJ19),Datos!CI19/Datos!CJ19," - ")</f>
        <v xml:space="preserve"> - </v>
      </c>
      <c r="AQ19" s="834">
        <f>IF(OR(ISNUMBER(FIND("01",Criterios!A8,1)),ISNUMBER(FIND("02",Criterios!A8,1)),ISNUMBER(FIND("03",Criterios!A8,1)),ISNUMBER(FIND("04",Criterios!A8,1))),(J19-Y19+K19)/(F19-K19),(I19-Y19+K19)/(F19-K19))</f>
        <v>-1.4153392330383481</v>
      </c>
      <c r="AR19" s="834">
        <f>IF(ISNUMBER((Datos!P19-Datos!Q19+O19)/(Datos!R19-Datos!P19+Datos!Q19-O19)),(Datos!P19-Datos!Q19+O19)/(Datos!R19-Datos!P19+Datos!Q19-O19)," - ")</f>
        <v>1.3715710723192019E-2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620</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804.95061960346368</v>
      </c>
      <c r="G21" s="552">
        <f>IF(ISNUMBER(STDEV(G8:G18)),STDEV(G8:G18),"-")</f>
        <v>768.33117859423101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234.64826767698398</v>
      </c>
      <c r="AK21" s="252"/>
      <c r="AL21" s="252">
        <f>IF(ISNUMBER(STDEV(AL8:AL18)),STDEV(AL8:AL18),"-")</f>
        <v>0</v>
      </c>
      <c r="AM21" s="254">
        <f>IF(ISNUMBER(STDEV(AM8:AM18)),STDEV(AM8:AM18),"-")</f>
        <v>0</v>
      </c>
      <c r="AN21" s="539">
        <f>IF(ISNUMBER(STDEV(AN8:AN18)),STDEV(AN8:AN18),"-")</f>
        <v>0</v>
      </c>
      <c r="AO21" s="540">
        <f>IF(ISNUMBER(STDEV(AO8:AO18)),STDEV(AO8:AO18),"-")</f>
        <v>3.2944818273594643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1ndNquLjf74A5KLJf6MHtJhEf3Z9R36N11JkrPhMKGz74gJIL7e04PhnJBexIdDoov/z/L78Gsfq1WJIoj1Oyw==" saltValue="DyG7IfSQ0DpVUI2ldXC6x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620</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621</v>
      </c>
      <c r="B4" s="1543" t="s">
        <v>725</v>
      </c>
      <c r="C4" s="1543" t="s">
        <v>622</v>
      </c>
      <c r="D4" s="1543" t="s">
        <v>683</v>
      </c>
      <c r="E4" s="1545" t="s">
        <v>684</v>
      </c>
      <c r="F4" s="1543" t="s">
        <v>623</v>
      </c>
      <c r="G4" s="1545" t="s">
        <v>452</v>
      </c>
      <c r="H4" s="1538" t="s">
        <v>624</v>
      </c>
      <c r="I4" s="1538" t="s">
        <v>625</v>
      </c>
      <c r="J4" s="1538" t="s">
        <v>626</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dHG3PqQIWkU+JcETPWOxzTALUgSfMLp/dgZe/5jUWWKGa9AWL0X4zwIOv5Yc79E4vDnBXj7Ct5pOmRqE84VxfQ==" saltValue="sQmlhr02RKRGwxt8iQYqR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746</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50" t="s">
        <v>742</v>
      </c>
      <c r="ER8" s="50" t="s">
        <v>747</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GGfGbHN0rtU3gEpN7uK1a7G9rBPw+mt610pF9P/1q5zd1HMo0iQs+HpS83LoMYgIJCx64dWCPUT113nfNpmLw==" saltValue="5OYM9nK45QI6acUus18yQ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TORREJON DE ARDOZ</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552</v>
      </c>
      <c r="F5" s="1503" t="s">
        <v>406</v>
      </c>
      <c r="G5" s="1492" t="s">
        <v>128</v>
      </c>
      <c r="H5" s="1492" t="s">
        <v>582</v>
      </c>
      <c r="I5" s="1492" t="s">
        <v>553</v>
      </c>
      <c r="J5" s="1492" t="s">
        <v>656</v>
      </c>
      <c r="K5" s="1492" t="s">
        <v>554</v>
      </c>
      <c r="L5" s="1492" t="s">
        <v>522</v>
      </c>
      <c r="M5" s="1495" t="s">
        <v>580</v>
      </c>
      <c r="N5" s="1492" t="s">
        <v>711</v>
      </c>
      <c r="O5" s="1492" t="s">
        <v>671</v>
      </c>
      <c r="P5" s="1492" t="s">
        <v>168</v>
      </c>
      <c r="Q5" s="1498" t="s">
        <v>668</v>
      </c>
      <c r="R5" s="1498" t="s">
        <v>712</v>
      </c>
      <c r="S5" s="1492" t="s">
        <v>583</v>
      </c>
      <c r="T5" s="1498" t="s">
        <v>555</v>
      </c>
      <c r="U5" s="1498" t="s">
        <v>762</v>
      </c>
      <c r="V5" s="1498" t="s">
        <v>763</v>
      </c>
      <c r="W5" s="1509" t="s">
        <v>605</v>
      </c>
      <c r="X5" s="1527" t="s">
        <v>556</v>
      </c>
      <c r="Y5" s="1509" t="s">
        <v>557</v>
      </c>
      <c r="Z5" s="1509" t="s">
        <v>558</v>
      </c>
      <c r="AA5" s="1492" t="s">
        <v>672</v>
      </c>
      <c r="AB5" s="1492" t="s">
        <v>677</v>
      </c>
      <c r="AC5" s="1492" t="s">
        <v>182</v>
      </c>
      <c r="AD5" s="1515" t="s">
        <v>180</v>
      </c>
      <c r="AE5" s="1492" t="s">
        <v>673</v>
      </c>
      <c r="AF5" s="1518" t="s">
        <v>674</v>
      </c>
      <c r="AG5" s="1521" t="s">
        <v>531</v>
      </c>
      <c r="AH5" s="1492" t="s">
        <v>532</v>
      </c>
      <c r="AI5" s="1492" t="s">
        <v>603</v>
      </c>
      <c r="AJ5" s="1524" t="s">
        <v>604</v>
      </c>
      <c r="AK5" s="1521" t="s">
        <v>183</v>
      </c>
      <c r="AL5" s="1492" t="s">
        <v>562</v>
      </c>
      <c r="AM5" s="1492" t="s">
        <v>247</v>
      </c>
      <c r="AN5" s="1492" t="s">
        <v>248</v>
      </c>
      <c r="AO5" s="1492" t="s">
        <v>249</v>
      </c>
      <c r="AP5" s="1492" t="s">
        <v>563</v>
      </c>
      <c r="AQ5" s="1492" t="s">
        <v>250</v>
      </c>
      <c r="AR5" s="1492" t="s">
        <v>564</v>
      </c>
      <c r="AS5" s="1492" t="s">
        <v>565</v>
      </c>
      <c r="AT5" s="1492" t="s">
        <v>566</v>
      </c>
      <c r="AU5" s="1492" t="s">
        <v>591</v>
      </c>
      <c r="AV5" s="1492" t="s">
        <v>584</v>
      </c>
      <c r="AW5" s="1492" t="s">
        <v>830</v>
      </c>
      <c r="AX5" s="1492" t="s">
        <v>833</v>
      </c>
      <c r="AY5" s="1492" t="s">
        <v>835</v>
      </c>
      <c r="AZ5" s="1492" t="s">
        <v>585</v>
      </c>
      <c r="BA5" s="1492" t="s">
        <v>851</v>
      </c>
      <c r="BB5" s="1492" t="s">
        <v>567</v>
      </c>
      <c r="BC5" s="1492" t="s">
        <v>530</v>
      </c>
      <c r="BW5" s="1492" t="s">
        <v>764</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0.20600532117065753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0.14566775956028458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8OWEB3sk9NKSubIcpfufjH2ohtclczJOM0JsnVXIYplHgwCsLrxZ/vINTOALA8yNWEnNuQj0+iPIW3buQI8OMQ==" saltValue="9eg+qvN8jdF/72SpTdvCx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oaae1Ady3ZlA3ZViB+XD6TfBP2HPqf6BFsooJJleAq8I/Atyt8gxdBrMSSAjxaDGIZJ9nRiaerYMMbU/n58rVA==" saltValue="V62yweXSXmGgqMC4Z/9fo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TORREJON DE ARDOZ</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552</v>
      </c>
      <c r="F5" s="1503" t="s">
        <v>406</v>
      </c>
      <c r="G5" s="1492" t="s">
        <v>128</v>
      </c>
      <c r="H5" s="1492" t="s">
        <v>685</v>
      </c>
      <c r="I5" s="1492" t="s">
        <v>686</v>
      </c>
      <c r="J5" s="1492" t="s">
        <v>689</v>
      </c>
      <c r="K5" s="1492" t="s">
        <v>690</v>
      </c>
      <c r="L5" s="1492" t="s">
        <v>580</v>
      </c>
      <c r="M5" s="1492" t="s">
        <v>711</v>
      </c>
      <c r="N5" s="1492" t="s">
        <v>691</v>
      </c>
      <c r="O5" s="1492" t="s">
        <v>687</v>
      </c>
      <c r="P5" s="1492" t="s">
        <v>168</v>
      </c>
      <c r="Q5" s="1492" t="s">
        <v>668</v>
      </c>
      <c r="R5" s="1492" t="s">
        <v>712</v>
      </c>
      <c r="S5" s="1492" t="str">
        <f>"Ingreso Computable 2003" &amp; IF(OR(EXACT(LEFT(boletin,2),"04"),EXACT(LEFT(boletin,2),"14"),EXACT(LEFT(boletin,2),"17"))," (Civil + Penal)","")</f>
        <v>Ingreso Computable 2003</v>
      </c>
      <c r="T5" s="1492" t="s">
        <v>688</v>
      </c>
      <c r="U5" s="1498" t="str">
        <f>"% Ingreso Computable 2003" &amp; IF(OR(EXACT(LEFT(boletin,2),"04"),EXACT(LEFT(boletin,2),"14"),EXACT(LEFT(boletin,2),"17"))," (Civil + Penal)","")</f>
        <v>% Ingreso Computable 2003</v>
      </c>
      <c r="V5" s="1498" t="s">
        <v>692</v>
      </c>
      <c r="W5" s="1492" t="s">
        <v>756</v>
      </c>
      <c r="X5" s="1492" t="s">
        <v>757</v>
      </c>
      <c r="Y5" s="1512" t="s">
        <v>659</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693</v>
      </c>
      <c r="AC5" s="1549" t="s">
        <v>694</v>
      </c>
      <c r="AD5" s="1549" t="s">
        <v>695</v>
      </c>
      <c r="AE5" s="1549" t="s">
        <v>696</v>
      </c>
      <c r="AF5" s="1492" t="s">
        <v>697</v>
      </c>
      <c r="AG5" s="1492" t="s">
        <v>698</v>
      </c>
      <c r="AH5" s="1492" t="s">
        <v>699</v>
      </c>
      <c r="AI5" s="1492" t="s">
        <v>700</v>
      </c>
      <c r="AJ5" s="1492" t="s">
        <v>182</v>
      </c>
      <c r="AK5" s="1521" t="s">
        <v>531</v>
      </c>
      <c r="AL5" s="1521" t="s">
        <v>183</v>
      </c>
      <c r="AM5" s="1492" t="s">
        <v>562</v>
      </c>
      <c r="AN5" s="1492" t="s">
        <v>247</v>
      </c>
      <c r="AO5" s="1492" t="s">
        <v>248</v>
      </c>
      <c r="AP5" s="1492" t="s">
        <v>701</v>
      </c>
      <c r="AQ5" s="1492" t="s">
        <v>702</v>
      </c>
      <c r="AR5" s="1492" t="s">
        <v>703</v>
      </c>
      <c r="AS5" s="1492" t="s">
        <v>704</v>
      </c>
      <c r="AT5" s="1492" t="s">
        <v>705</v>
      </c>
      <c r="AU5" s="1492" t="s">
        <v>706</v>
      </c>
      <c r="AV5" s="1492" t="s">
        <v>707</v>
      </c>
      <c r="AW5" s="1492" t="s">
        <v>708</v>
      </c>
      <c r="AX5" s="1492" t="s">
        <v>830</v>
      </c>
      <c r="AY5" s="1492" t="s">
        <v>833</v>
      </c>
      <c r="AZ5" s="1492" t="s">
        <v>709</v>
      </c>
      <c r="BA5" s="1492" t="s">
        <v>710</v>
      </c>
      <c r="BB5" s="1492" t="s">
        <v>530</v>
      </c>
      <c r="BC5" s="1325" t="s">
        <v>717</v>
      </c>
      <c r="BD5" s="1325" t="s">
        <v>718</v>
      </c>
      <c r="BE5" s="1503" t="s">
        <v>719</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133</v>
      </c>
      <c r="G10" s="684">
        <f>IF(ISNUMBER(Datos!I10),Datos!I10," - ")</f>
        <v>133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8</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35</v>
      </c>
      <c r="AC10" s="683" t="str">
        <f>IF(ISNUMBER(IF(D_I="SI",DatosP!K17,DatosP!K17+DatosP!AE17)),IF(D_I="SI",DatosP!K17,DatosP!K17+DatosP!AE17)," - ")</f>
        <v xml:space="preserve"> - </v>
      </c>
      <c r="AD10" s="685"/>
      <c r="AE10" s="685"/>
      <c r="AF10" s="688">
        <f>IF(ISNUMBER(Datos!L10),Datos!L10,"-")</f>
        <v>131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14</v>
      </c>
      <c r="AM10" s="690">
        <f>IF(ISNUMBER(Datos!N10+DatosP!N17),Datos!N10+DatosP!N17," - ")</f>
        <v>8</v>
      </c>
      <c r="AN10" s="690">
        <f>IF(ISNUMBER(Datos!BW10+DatosP!BW17),Datos!BW10+DatosP!BW17," - ")</f>
        <v>0</v>
      </c>
      <c r="AO10" s="691">
        <f>IF(ISNUMBER(Datos!BX10+DatosP!BX17),Datos!BX10+DatosP!BX17," - ")</f>
        <v>0</v>
      </c>
      <c r="AP10" s="693">
        <f>IF(ISNUMBER(((Datos!L10/Datos!K10)*11)/factor_trimestre),((Datos!L10/Datos!K10)*11)/factor_trimestre," - ")</f>
        <v>7.4857142857142858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133</v>
      </c>
      <c r="G13" s="938">
        <f t="shared" si="0"/>
        <v>133</v>
      </c>
      <c r="H13" s="938">
        <f t="shared" si="0"/>
        <v>0</v>
      </c>
      <c r="I13" s="940">
        <f t="shared" si="0"/>
        <v>0</v>
      </c>
      <c r="J13" s="939">
        <f t="shared" si="0"/>
        <v>0</v>
      </c>
      <c r="K13" s="939">
        <f t="shared" si="0"/>
        <v>0</v>
      </c>
      <c r="L13" s="941">
        <f t="shared" si="0"/>
        <v>0</v>
      </c>
      <c r="M13" s="941">
        <f t="shared" si="0"/>
        <v>0</v>
      </c>
      <c r="N13" s="939">
        <f t="shared" si="0"/>
        <v>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35</v>
      </c>
      <c r="AC13" s="939">
        <f t="shared" si="1"/>
        <v>0</v>
      </c>
      <c r="AD13" s="939">
        <f t="shared" si="1"/>
        <v>0</v>
      </c>
      <c r="AE13" s="939">
        <f t="shared" si="1"/>
        <v>0</v>
      </c>
      <c r="AF13" s="939">
        <f t="shared" si="1"/>
        <v>131</v>
      </c>
      <c r="AG13" s="939">
        <f t="shared" si="1"/>
        <v>0</v>
      </c>
      <c r="AH13" s="939">
        <f t="shared" si="1"/>
        <v>0</v>
      </c>
      <c r="AI13" s="939">
        <f t="shared" si="1"/>
        <v>0</v>
      </c>
      <c r="AJ13" s="939">
        <f t="shared" si="1"/>
        <v>0</v>
      </c>
      <c r="AK13" s="939">
        <f t="shared" si="1"/>
        <v>0</v>
      </c>
      <c r="AL13" s="939">
        <f t="shared" si="1"/>
        <v>14</v>
      </c>
      <c r="AM13" s="939">
        <f t="shared" si="1"/>
        <v>8</v>
      </c>
      <c r="AN13" s="939">
        <f t="shared" si="1"/>
        <v>0</v>
      </c>
      <c r="AO13" s="939">
        <f t="shared" si="1"/>
        <v>0</v>
      </c>
      <c r="AP13" s="944">
        <f>IF(ISNUMBER(((Datos!L13/Datos!K13)*11)/factor_trimestre),((Datos!L13/Datos!K13)*11)/factor_trimestre," - ")</f>
        <v>7.797789602947196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-0.26315789473684209</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1.4568527918781726</v>
      </c>
      <c r="AQ18" s="944">
        <f>IF(ISNUMBER(((Datos!M18/Datos!L18)*11)/factor_trimestre),((Datos!M18/Datos!L18)*11)/factor_trimestre," - ")</f>
        <v>0.2694541231126597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-0.12837837837837837</v>
      </c>
      <c r="AW18" s="946">
        <f>IF(ISNUMBER((Datos!Q18-Datos!R18)/(Datos!S18-Datos!Q18+Datos!R18)),(Datos!Q18-Datos!R18)/(Datos!S18-Datos!Q18+Datos!R18)," - ")</f>
        <v>-0.1057014734144779</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133</v>
      </c>
      <c r="G19" s="951">
        <f t="shared" si="4"/>
        <v>133</v>
      </c>
      <c r="H19" s="951">
        <f t="shared" si="4"/>
        <v>0</v>
      </c>
      <c r="I19" s="952">
        <f t="shared" si="4"/>
        <v>0</v>
      </c>
      <c r="J19" s="953">
        <f t="shared" si="4"/>
        <v>0</v>
      </c>
      <c r="K19" s="953">
        <f t="shared" si="4"/>
        <v>0</v>
      </c>
      <c r="L19" s="953">
        <f t="shared" si="4"/>
        <v>0</v>
      </c>
      <c r="M19" s="953">
        <f t="shared" si="4"/>
        <v>0</v>
      </c>
      <c r="N19" s="952">
        <f t="shared" si="4"/>
        <v>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35</v>
      </c>
      <c r="AC19" s="957">
        <f t="shared" si="5"/>
        <v>0</v>
      </c>
      <c r="AD19" s="957">
        <f t="shared" si="5"/>
        <v>0</v>
      </c>
      <c r="AE19" s="957">
        <f t="shared" si="5"/>
        <v>0</v>
      </c>
      <c r="AF19" s="958">
        <f t="shared" si="5"/>
        <v>131</v>
      </c>
      <c r="AG19" s="958">
        <f t="shared" si="5"/>
        <v>0</v>
      </c>
      <c r="AH19" s="958">
        <f t="shared" si="5"/>
        <v>0</v>
      </c>
      <c r="AI19" s="958">
        <f t="shared" si="5"/>
        <v>0</v>
      </c>
      <c r="AJ19" s="959">
        <f t="shared" si="5"/>
        <v>0</v>
      </c>
      <c r="AK19" s="959">
        <f t="shared" si="5"/>
        <v>0</v>
      </c>
      <c r="AL19" s="951">
        <f t="shared" si="5"/>
        <v>14</v>
      </c>
      <c r="AM19" s="951">
        <f t="shared" si="5"/>
        <v>8</v>
      </c>
      <c r="AN19" s="951">
        <f t="shared" si="5"/>
        <v>0</v>
      </c>
      <c r="AO19" s="951">
        <f t="shared" si="5"/>
        <v>0</v>
      </c>
      <c r="AP19" s="951">
        <f>IF(ISNUMBER(((Datos!L19/Datos!K19)*11)/factor_trimestre),((Datos!L19/Datos!K19)*11)/factor_trimestre," - ")</f>
        <v>4.6794258373205739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-0.26315789473684209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1.3715710723192019E-2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88.666666666666671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3.2659863237109041</v>
      </c>
      <c r="F21" s="736">
        <f>IF(ISNUMBER(STDEV(F8:F18)),STDEV(F8:F18),"-")</f>
        <v>76.787585802220235</v>
      </c>
      <c r="G21" s="737">
        <f>IF(ISNUMBER(STDEV(G8:G18)),STDEV(G8:G18),"-")</f>
        <v>76.787585802220235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20.207259421636902</v>
      </c>
      <c r="AC21" s="738">
        <f>IF(ISNUMBER(STDEV(AC8:AC18)),STDEV(AC8:AC18),"-")</f>
        <v>0</v>
      </c>
      <c r="AD21" s="741"/>
      <c r="AE21" s="741"/>
      <c r="AF21" s="741"/>
      <c r="AG21" s="741"/>
      <c r="AH21" s="741"/>
      <c r="AI21" s="741"/>
      <c r="AJ21" s="742">
        <f>IF(ISNUMBER(STDEV(AJ8:AJ18)),STDEV(AJ8:AJ18),"-")</f>
        <v>0</v>
      </c>
      <c r="AK21" s="744"/>
      <c r="AL21" s="736">
        <f>IF(ISNUMBER(STDEV(AL8:AL18)),STDEV(AL8:AL18),"-")</f>
        <v>8.0829037686547611</v>
      </c>
      <c r="AM21" s="736"/>
      <c r="AN21" s="736">
        <f>IF(ISNUMBER(STDEV(AN8:AN18)),STDEV(AN8:AN18),"-")</f>
        <v>0</v>
      </c>
      <c r="AO21" s="742">
        <f>IF(ISNUMBER(STDEV(AO8:AO18)),STDEV(AO8:AO18),"-")</f>
        <v>0</v>
      </c>
      <c r="AP21" s="779">
        <f>IF(ISNUMBER(STDEV(AP8:AP18)),STDEV(AP8:AP18),"-")</f>
        <v>3.5742607990430688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cDKkqgjc8MU98laeiqK5nzuctYjPlUhXS1l0iXjXH6YLluq0dE5yOEtPLUqcZMmT94iltPBkqSsZmqo2sk34Ug==" saltValue="cTS01YZ2qgdUH+fhGnaBR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2024-11-29T12:42:44Z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